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 defaultThemeVersion="124226"/>
  <xr:revisionPtr revIDLastSave="0" documentId="13_ncr:1_{D12E9FA2-5E54-400A-B28B-77DDE64E17E3}" xr6:coauthVersionLast="40" xr6:coauthVersionMax="40" xr10:uidLastSave="{00000000-0000-0000-0000-000000000000}"/>
  <bookViews>
    <workbookView xWindow="0" yWindow="60" windowWidth="24240" windowHeight="12075" firstSheet="10" activeTab="11" xr2:uid="{00000000-000D-0000-FFFF-FFFF00000000}"/>
  </bookViews>
  <sheets>
    <sheet name="Паспорт программы" sheetId="10" r:id="rId1"/>
    <sheet name="Прил1 Планир результ" sheetId="17" r:id="rId2"/>
    <sheet name="Прил 2 Паспорт подпр 1" sheetId="3" r:id="rId3"/>
    <sheet name="Прил 3 паспорт подпр 2" sheetId="2" r:id="rId4"/>
    <sheet name="Прил 4 паспорт подпр 3" sheetId="4" r:id="rId5"/>
    <sheet name="Прил 5 паспорт подпр 4" sheetId="5" r:id="rId6"/>
    <sheet name="Прилож 6 пасп подп 5" sheetId="19" r:id="rId7"/>
    <sheet name="Прил 7 пасп подпр 6" sheetId="7" r:id="rId8"/>
    <sheet name="Прил 8 пасп подпр 7" sheetId="21" r:id="rId9"/>
    <sheet name="Прил 9 пасп подпр 8" sheetId="8" r:id="rId10"/>
    <sheet name="Прил 10 Обоснов фин ресурсов" sheetId="12" r:id="rId11"/>
    <sheet name="Прил 11 Перечень мероприятий" sheetId="13" r:id="rId12"/>
    <sheet name="Прил 12 Адресный перечень об" sheetId="14" r:id="rId13"/>
    <sheet name="Прил 13 Адреснперечень объекта" sheetId="15" r:id="rId14"/>
    <sheet name="Прил 14 методика расчета" sheetId="16" r:id="rId15"/>
  </sheets>
  <definedNames>
    <definedName name="_xlnm.Print_Area" localSheetId="10">'Прил 10 Обоснов фин ресурсов'!$A$1:$F$746</definedName>
    <definedName name="_xlnm.Print_Area" localSheetId="11">'Прил 11 Перечень мероприятий'!$A$1:$M$590</definedName>
    <definedName name="_xlnm.Print_Area" localSheetId="12">'Прил 12 Адресный перечень об'!$A$1:$N$20</definedName>
    <definedName name="_xlnm.Print_Area" localSheetId="1">'Прил1 Планир результ'!$A$1:$K$47</definedName>
    <definedName name="_xlnm.Print_Area" localSheetId="6">'Прилож 6 пасп подп 5'!$A$1:$K$17</definedName>
  </definedNames>
  <calcPr calcId="191029"/>
</workbook>
</file>

<file path=xl/calcChain.xml><?xml version="1.0" encoding="utf-8"?>
<calcChain xmlns="http://schemas.openxmlformats.org/spreadsheetml/2006/main">
  <c r="E614" i="12" l="1"/>
  <c r="E613" i="12"/>
  <c r="E612" i="12"/>
  <c r="E611" i="12"/>
  <c r="E610" i="12"/>
  <c r="E608" i="12"/>
  <c r="E607" i="12"/>
  <c r="E606" i="12"/>
  <c r="E605" i="12"/>
  <c r="E604" i="12"/>
  <c r="E602" i="12"/>
  <c r="E601" i="12"/>
  <c r="E600" i="12"/>
  <c r="E599" i="12"/>
  <c r="E598" i="12"/>
  <c r="E596" i="12"/>
  <c r="E595" i="12"/>
  <c r="E594" i="12"/>
  <c r="E593" i="12"/>
  <c r="E592" i="12"/>
  <c r="I27" i="15"/>
  <c r="I26" i="15" s="1"/>
  <c r="I29" i="15" s="1"/>
  <c r="G27" i="15"/>
  <c r="G26" i="15" s="1"/>
  <c r="G29" i="15" s="1"/>
  <c r="G21" i="15"/>
  <c r="G22" i="15"/>
  <c r="G23" i="15"/>
  <c r="H29" i="15"/>
  <c r="G28" i="15"/>
  <c r="J26" i="15"/>
  <c r="J29" i="15" s="1"/>
  <c r="H26" i="15"/>
  <c r="G20" i="15"/>
  <c r="E603" i="12" l="1"/>
  <c r="E609" i="12"/>
  <c r="E597" i="12"/>
  <c r="E591" i="12"/>
  <c r="L20" i="14"/>
  <c r="L19" i="14"/>
  <c r="L14" i="14"/>
  <c r="L17" i="14" s="1"/>
  <c r="G424" i="13"/>
  <c r="H424" i="13"/>
  <c r="I424" i="13"/>
  <c r="J424" i="13"/>
  <c r="K424" i="13"/>
  <c r="F424" i="13"/>
  <c r="G423" i="13"/>
  <c r="H423" i="13"/>
  <c r="I423" i="13"/>
  <c r="J423" i="13"/>
  <c r="K423" i="13"/>
  <c r="F423" i="13"/>
  <c r="F422" i="13"/>
  <c r="H422" i="13"/>
  <c r="I422" i="13"/>
  <c r="J422" i="13"/>
  <c r="K422" i="13"/>
  <c r="G422" i="13"/>
  <c r="L18" i="14" l="1"/>
  <c r="J451" i="13"/>
  <c r="K451" i="13"/>
  <c r="G451" i="13"/>
  <c r="G450" i="13"/>
  <c r="I450" i="13"/>
  <c r="J450" i="13"/>
  <c r="K450" i="13"/>
  <c r="H451" i="13"/>
  <c r="H450" i="13"/>
  <c r="K468" i="13"/>
  <c r="K465" i="13" s="1"/>
  <c r="I468" i="13"/>
  <c r="G468" i="13" s="1"/>
  <c r="F467" i="13"/>
  <c r="F466" i="13"/>
  <c r="J465" i="13"/>
  <c r="H465" i="13"/>
  <c r="E465" i="13"/>
  <c r="K464" i="13"/>
  <c r="I464" i="13"/>
  <c r="I461" i="13" s="1"/>
  <c r="G464" i="13"/>
  <c r="F464" i="13" s="1"/>
  <c r="F463" i="13"/>
  <c r="F462" i="13"/>
  <c r="K461" i="13"/>
  <c r="J461" i="13"/>
  <c r="H461" i="13"/>
  <c r="E461" i="13"/>
  <c r="G461" i="13" l="1"/>
  <c r="F461" i="13"/>
  <c r="F465" i="13"/>
  <c r="G465" i="13"/>
  <c r="F468" i="13"/>
  <c r="I465" i="13"/>
  <c r="H236" i="13"/>
  <c r="H110" i="13"/>
  <c r="H58" i="13"/>
  <c r="H122" i="13" l="1"/>
  <c r="H211" i="13"/>
  <c r="H46" i="13"/>
  <c r="K19" i="14" l="1"/>
  <c r="K18" i="14" s="1"/>
  <c r="I19" i="14"/>
  <c r="I18" i="14"/>
  <c r="I17" i="14"/>
  <c r="J19" i="14"/>
  <c r="I20" i="14"/>
  <c r="J20" i="14"/>
  <c r="K20" i="14"/>
  <c r="J18" i="14" l="1"/>
  <c r="H353" i="13"/>
  <c r="I410" i="13"/>
  <c r="J410" i="13"/>
  <c r="K410" i="13"/>
  <c r="H410" i="13"/>
  <c r="H568" i="13" l="1"/>
  <c r="H564" i="13"/>
  <c r="H560" i="13"/>
  <c r="H552" i="13"/>
  <c r="H556" i="13"/>
  <c r="H572" i="13"/>
  <c r="H139" i="13" l="1"/>
  <c r="H70" i="13"/>
  <c r="E144" i="12" l="1"/>
  <c r="E143" i="12"/>
  <c r="E142" i="12"/>
  <c r="E141" i="12"/>
  <c r="E140" i="12"/>
  <c r="G88" i="13"/>
  <c r="H88" i="13"/>
  <c r="I88" i="13"/>
  <c r="J88" i="13"/>
  <c r="K88" i="13"/>
  <c r="G87" i="13"/>
  <c r="H87" i="13"/>
  <c r="I87" i="13"/>
  <c r="J87" i="13"/>
  <c r="K87" i="13"/>
  <c r="H86" i="13"/>
  <c r="I86" i="13"/>
  <c r="J86" i="13"/>
  <c r="K86" i="13"/>
  <c r="F124" i="13"/>
  <c r="F123" i="13"/>
  <c r="F122" i="13"/>
  <c r="K121" i="13"/>
  <c r="J121" i="13"/>
  <c r="I121" i="13"/>
  <c r="H121" i="13"/>
  <c r="G121" i="13"/>
  <c r="E121" i="13"/>
  <c r="G109" i="13"/>
  <c r="H109" i="13"/>
  <c r="I109" i="13"/>
  <c r="J109" i="13"/>
  <c r="K109" i="13"/>
  <c r="F110" i="13"/>
  <c r="F109" i="13" s="1"/>
  <c r="H50" i="13"/>
  <c r="H74" i="13"/>
  <c r="E139" i="12" l="1"/>
  <c r="F121" i="13"/>
  <c r="H272" i="13"/>
  <c r="H308" i="13"/>
  <c r="H228" i="13"/>
  <c r="H38" i="13"/>
  <c r="E533" i="12"/>
  <c r="E532" i="12"/>
  <c r="E531" i="12"/>
  <c r="E530" i="12"/>
  <c r="E529" i="12"/>
  <c r="F420" i="13"/>
  <c r="F419" i="13"/>
  <c r="F418" i="13"/>
  <c r="K417" i="13"/>
  <c r="J417" i="13"/>
  <c r="I417" i="13"/>
  <c r="H417" i="13"/>
  <c r="G417" i="13"/>
  <c r="E417" i="13"/>
  <c r="F417" i="13" l="1"/>
  <c r="E528" i="12"/>
  <c r="E519" i="12"/>
  <c r="E518" i="12"/>
  <c r="E517" i="12"/>
  <c r="E516" i="12"/>
  <c r="E515" i="12"/>
  <c r="G373" i="13"/>
  <c r="I373" i="13"/>
  <c r="J373" i="13"/>
  <c r="K373" i="13"/>
  <c r="F403" i="13"/>
  <c r="F402" i="13"/>
  <c r="F401" i="13"/>
  <c r="K400" i="13"/>
  <c r="J400" i="13"/>
  <c r="I400" i="13"/>
  <c r="H400" i="13"/>
  <c r="G400" i="13"/>
  <c r="E400" i="13"/>
  <c r="E514" i="12" l="1"/>
  <c r="F400" i="13"/>
  <c r="G452" i="13"/>
  <c r="H452" i="13"/>
  <c r="I452" i="13"/>
  <c r="J452" i="13"/>
  <c r="K452" i="13"/>
  <c r="I451" i="13"/>
  <c r="F459" i="13"/>
  <c r="F458" i="13"/>
  <c r="F460" i="13"/>
  <c r="K457" i="13"/>
  <c r="J457" i="13"/>
  <c r="I457" i="13"/>
  <c r="G457" i="13"/>
  <c r="E457" i="13"/>
  <c r="F457" i="13" l="1"/>
  <c r="H457" i="13"/>
  <c r="E690" i="12"/>
  <c r="E689" i="12"/>
  <c r="E688" i="12"/>
  <c r="E687" i="12"/>
  <c r="I13" i="2"/>
  <c r="H15" i="14" l="1"/>
  <c r="H16" i="14"/>
  <c r="E16" i="14" l="1"/>
  <c r="H20" i="14"/>
  <c r="E15" i="14"/>
  <c r="H19" i="14"/>
  <c r="H18" i="14" s="1"/>
  <c r="E752" i="12"/>
  <c r="E751" i="12"/>
  <c r="E750" i="12"/>
  <c r="E749" i="12"/>
  <c r="E748" i="12"/>
  <c r="E747" i="12" l="1"/>
  <c r="I540" i="13"/>
  <c r="J540" i="13"/>
  <c r="K540" i="13"/>
  <c r="H540" i="13"/>
  <c r="H385" i="13" l="1"/>
  <c r="H373" i="13" s="1"/>
  <c r="F582" i="13" l="1"/>
  <c r="F581" i="13"/>
  <c r="F580" i="13"/>
  <c r="F579" i="13" s="1"/>
  <c r="K579" i="13"/>
  <c r="J579" i="13"/>
  <c r="I579" i="13"/>
  <c r="H579" i="13"/>
  <c r="G579" i="13"/>
  <c r="E579" i="13"/>
  <c r="J341" i="13" l="1"/>
  <c r="I341" i="13"/>
  <c r="H341" i="13"/>
  <c r="J228" i="13"/>
  <c r="I228" i="13"/>
  <c r="J139" i="13" l="1"/>
  <c r="I139" i="13"/>
  <c r="J38" i="13" l="1"/>
  <c r="I38" i="13"/>
  <c r="E590" i="12" l="1"/>
  <c r="E589" i="12"/>
  <c r="E588" i="12"/>
  <c r="E587" i="12"/>
  <c r="E586" i="12"/>
  <c r="E584" i="12"/>
  <c r="E583" i="12"/>
  <c r="E582" i="12"/>
  <c r="E581" i="12"/>
  <c r="E580" i="12"/>
  <c r="E585" i="12" l="1"/>
  <c r="E579" i="12"/>
  <c r="E472" i="12"/>
  <c r="E513" i="12"/>
  <c r="E512" i="12"/>
  <c r="E511" i="12"/>
  <c r="E510" i="12"/>
  <c r="E509" i="12"/>
  <c r="E507" i="12"/>
  <c r="E506" i="12"/>
  <c r="E505" i="12"/>
  <c r="E504" i="12"/>
  <c r="E503" i="12"/>
  <c r="E501" i="12"/>
  <c r="E500" i="12"/>
  <c r="E499" i="12"/>
  <c r="E498" i="12"/>
  <c r="E497" i="12"/>
  <c r="E495" i="12"/>
  <c r="E494" i="12"/>
  <c r="E493" i="12"/>
  <c r="E492" i="12"/>
  <c r="E491" i="12"/>
  <c r="E489" i="12"/>
  <c r="E488" i="12"/>
  <c r="E487" i="12"/>
  <c r="E486" i="12"/>
  <c r="E485" i="12"/>
  <c r="E483" i="12"/>
  <c r="E482" i="12"/>
  <c r="E481" i="12"/>
  <c r="E480" i="12"/>
  <c r="E479" i="12"/>
  <c r="E476" i="12"/>
  <c r="E475" i="12"/>
  <c r="E474" i="12"/>
  <c r="E473" i="12"/>
  <c r="E470" i="12"/>
  <c r="E469" i="12"/>
  <c r="E468" i="12"/>
  <c r="E467" i="12"/>
  <c r="E466" i="12"/>
  <c r="E464" i="12"/>
  <c r="E463" i="12"/>
  <c r="E462" i="12"/>
  <c r="E461" i="12"/>
  <c r="E460" i="12"/>
  <c r="E458" i="12"/>
  <c r="E457" i="12"/>
  <c r="E456" i="12"/>
  <c r="E455" i="12"/>
  <c r="E454" i="12"/>
  <c r="E452" i="12"/>
  <c r="E451" i="12"/>
  <c r="E450" i="12"/>
  <c r="E449" i="12"/>
  <c r="E446" i="12"/>
  <c r="E445" i="12"/>
  <c r="E444" i="12"/>
  <c r="E443" i="12"/>
  <c r="E442" i="12"/>
  <c r="E440" i="12"/>
  <c r="E439" i="12"/>
  <c r="E438" i="12"/>
  <c r="E437" i="12"/>
  <c r="E436" i="12"/>
  <c r="E433" i="12"/>
  <c r="E432" i="12"/>
  <c r="E431" i="12"/>
  <c r="E430" i="12"/>
  <c r="E428" i="12"/>
  <c r="E427" i="12"/>
  <c r="E426" i="12"/>
  <c r="E425" i="12"/>
  <c r="E434" i="12"/>
  <c r="E502" i="12" l="1"/>
  <c r="E496" i="12"/>
  <c r="E508" i="12"/>
  <c r="E484" i="12"/>
  <c r="E490" i="12"/>
  <c r="E471" i="12"/>
  <c r="E478" i="12"/>
  <c r="E459" i="12"/>
  <c r="E453" i="12"/>
  <c r="E429" i="12"/>
  <c r="E435" i="12"/>
  <c r="E465" i="12"/>
  <c r="E410" i="13"/>
  <c r="E411" i="13"/>
  <c r="E412" i="13"/>
  <c r="H412" i="13"/>
  <c r="I412" i="13"/>
  <c r="J412" i="13"/>
  <c r="K412" i="13"/>
  <c r="G412" i="13"/>
  <c r="H411" i="13"/>
  <c r="I411" i="13"/>
  <c r="J411" i="13"/>
  <c r="K411" i="13"/>
  <c r="G411" i="13"/>
  <c r="F456" i="13"/>
  <c r="F452" i="13" s="1"/>
  <c r="F455" i="13"/>
  <c r="F451" i="13" s="1"/>
  <c r="F454" i="13"/>
  <c r="F450" i="13" s="1"/>
  <c r="K453" i="13"/>
  <c r="J453" i="13"/>
  <c r="I453" i="13"/>
  <c r="H453" i="13"/>
  <c r="G453" i="13"/>
  <c r="E453" i="13"/>
  <c r="E452" i="13"/>
  <c r="E449" i="13" s="1"/>
  <c r="K449" i="13"/>
  <c r="J449" i="13"/>
  <c r="E339" i="13"/>
  <c r="E338" i="13"/>
  <c r="E337" i="13"/>
  <c r="E333" i="13" s="1"/>
  <c r="H337" i="13"/>
  <c r="H333" i="13" s="1"/>
  <c r="I337" i="13"/>
  <c r="I333" i="13" s="1"/>
  <c r="J337" i="13"/>
  <c r="J333" i="13" s="1"/>
  <c r="K337" i="13"/>
  <c r="K333" i="13" s="1"/>
  <c r="H338" i="13"/>
  <c r="I338" i="13"/>
  <c r="J338" i="13"/>
  <c r="K338" i="13"/>
  <c r="K334" i="13" s="1"/>
  <c r="H339" i="13"/>
  <c r="I339" i="13"/>
  <c r="I336" i="13" s="1"/>
  <c r="J339" i="13"/>
  <c r="J336" i="13" s="1"/>
  <c r="K339" i="13"/>
  <c r="G339" i="13"/>
  <c r="G338" i="13"/>
  <c r="G375" i="13"/>
  <c r="H375" i="13"/>
  <c r="I375" i="13"/>
  <c r="J375" i="13"/>
  <c r="K375" i="13"/>
  <c r="E375" i="13"/>
  <c r="G374" i="13"/>
  <c r="H374" i="13"/>
  <c r="I374" i="13"/>
  <c r="J374" i="13"/>
  <c r="K374" i="13"/>
  <c r="E374" i="13"/>
  <c r="E373" i="13"/>
  <c r="F387" i="13"/>
  <c r="F386" i="13"/>
  <c r="F385" i="13"/>
  <c r="K384" i="13"/>
  <c r="J384" i="13"/>
  <c r="I384" i="13"/>
  <c r="H384" i="13"/>
  <c r="G384" i="13"/>
  <c r="E384" i="13"/>
  <c r="F371" i="13"/>
  <c r="F370" i="13"/>
  <c r="F369" i="13"/>
  <c r="K368" i="13"/>
  <c r="J368" i="13"/>
  <c r="I368" i="13"/>
  <c r="H368" i="13"/>
  <c r="G368" i="13"/>
  <c r="E368" i="13"/>
  <c r="F363" i="13"/>
  <c r="F362" i="13"/>
  <c r="F361" i="13"/>
  <c r="K360" i="13"/>
  <c r="J360" i="13"/>
  <c r="I360" i="13"/>
  <c r="H360" i="13"/>
  <c r="G360" i="13"/>
  <c r="E360" i="13"/>
  <c r="F367" i="13"/>
  <c r="F366" i="13"/>
  <c r="F365" i="13"/>
  <c r="K364" i="13"/>
  <c r="J364" i="13"/>
  <c r="I364" i="13"/>
  <c r="H364" i="13"/>
  <c r="G364" i="13"/>
  <c r="E364" i="13"/>
  <c r="F379" i="13"/>
  <c r="F378" i="13"/>
  <c r="F377" i="13"/>
  <c r="K376" i="13"/>
  <c r="J376" i="13"/>
  <c r="I376" i="13"/>
  <c r="H376" i="13"/>
  <c r="G376" i="13"/>
  <c r="E376" i="13"/>
  <c r="E380" i="13"/>
  <c r="G380" i="13"/>
  <c r="H380" i="13"/>
  <c r="I380" i="13"/>
  <c r="J380" i="13"/>
  <c r="K380" i="13"/>
  <c r="F381" i="13"/>
  <c r="F382" i="13"/>
  <c r="F383" i="13"/>
  <c r="F395" i="13"/>
  <c r="F394" i="13"/>
  <c r="F393" i="13"/>
  <c r="K392" i="13"/>
  <c r="J392" i="13"/>
  <c r="I392" i="13"/>
  <c r="H392" i="13"/>
  <c r="G392" i="13"/>
  <c r="E392" i="13"/>
  <c r="F347" i="13"/>
  <c r="F346" i="13"/>
  <c r="F345" i="13"/>
  <c r="K344" i="13"/>
  <c r="J344" i="13"/>
  <c r="I344" i="13"/>
  <c r="H344" i="13"/>
  <c r="G344" i="13"/>
  <c r="E344" i="13"/>
  <c r="J334" i="13" l="1"/>
  <c r="G335" i="13"/>
  <c r="H334" i="13"/>
  <c r="J335" i="13"/>
  <c r="J332" i="13" s="1"/>
  <c r="K335" i="13"/>
  <c r="K332" i="13" s="1"/>
  <c r="E336" i="13"/>
  <c r="G334" i="13"/>
  <c r="I334" i="13"/>
  <c r="E335" i="13"/>
  <c r="H372" i="13"/>
  <c r="H336" i="13"/>
  <c r="I335" i="13"/>
  <c r="I332" i="13" s="1"/>
  <c r="K336" i="13"/>
  <c r="H335" i="13"/>
  <c r="G449" i="13"/>
  <c r="F453" i="13"/>
  <c r="F384" i="13"/>
  <c r="K372" i="13"/>
  <c r="G372" i="13"/>
  <c r="I372" i="13"/>
  <c r="E334" i="13"/>
  <c r="E332" i="13" s="1"/>
  <c r="I449" i="13"/>
  <c r="H449" i="13"/>
  <c r="F449" i="13"/>
  <c r="J372" i="13"/>
  <c r="E372" i="13"/>
  <c r="F368" i="13"/>
  <c r="F364" i="13"/>
  <c r="F360" i="13"/>
  <c r="F344" i="13"/>
  <c r="F392" i="13"/>
  <c r="F380" i="13"/>
  <c r="F376" i="13"/>
  <c r="H332" i="13" l="1"/>
  <c r="K14" i="14"/>
  <c r="K17" i="14" s="1"/>
  <c r="J14" i="14"/>
  <c r="J17" i="14" s="1"/>
  <c r="I14" i="14"/>
  <c r="H14" i="14" l="1"/>
  <c r="E683" i="12"/>
  <c r="E682" i="12"/>
  <c r="E681" i="12"/>
  <c r="E680" i="12"/>
  <c r="E677" i="12"/>
  <c r="E676" i="12"/>
  <c r="E675" i="12"/>
  <c r="E652" i="12"/>
  <c r="E651" i="12"/>
  <c r="E650" i="12"/>
  <c r="E649" i="12"/>
  <c r="E632" i="12"/>
  <c r="E631" i="12"/>
  <c r="E630" i="12"/>
  <c r="E622" i="12"/>
  <c r="E621" i="12"/>
  <c r="E620" i="12"/>
  <c r="E619" i="12"/>
  <c r="E14" i="14" l="1"/>
  <c r="H17" i="14"/>
  <c r="K15" i="7"/>
  <c r="E564" i="12"/>
  <c r="E563" i="12"/>
  <c r="E562" i="12"/>
  <c r="E561" i="12"/>
  <c r="E560" i="12"/>
  <c r="F399" i="13"/>
  <c r="F398" i="13"/>
  <c r="F397" i="13"/>
  <c r="K396" i="13"/>
  <c r="J396" i="13"/>
  <c r="I396" i="13"/>
  <c r="H396" i="13"/>
  <c r="G396" i="13"/>
  <c r="E396" i="13"/>
  <c r="K440" i="13"/>
  <c r="I440" i="13" s="1"/>
  <c r="I437" i="13" s="1"/>
  <c r="F439" i="13"/>
  <c r="F438" i="13"/>
  <c r="J437" i="13"/>
  <c r="H437" i="13"/>
  <c r="E437" i="13"/>
  <c r="K437" i="13" l="1"/>
  <c r="G440" i="13"/>
  <c r="F396" i="13"/>
  <c r="E559" i="12"/>
  <c r="F440" i="13" l="1"/>
  <c r="F437" i="13" s="1"/>
  <c r="G437" i="13"/>
  <c r="E138" i="12"/>
  <c r="E137" i="12"/>
  <c r="E136" i="12"/>
  <c r="E135" i="12"/>
  <c r="E134" i="12"/>
  <c r="E132" i="12"/>
  <c r="E131" i="12"/>
  <c r="E130" i="12"/>
  <c r="E129" i="12"/>
  <c r="E128" i="12"/>
  <c r="F120" i="13" l="1"/>
  <c r="F119" i="13"/>
  <c r="F118" i="13"/>
  <c r="K117" i="13"/>
  <c r="J117" i="13"/>
  <c r="I117" i="13"/>
  <c r="H117" i="13"/>
  <c r="G117" i="13"/>
  <c r="E117" i="13"/>
  <c r="E88" i="13"/>
  <c r="E87" i="13"/>
  <c r="E86" i="13"/>
  <c r="F116" i="13"/>
  <c r="F115" i="13"/>
  <c r="F114" i="13"/>
  <c r="K113" i="13"/>
  <c r="J113" i="13"/>
  <c r="I113" i="13"/>
  <c r="H113" i="13"/>
  <c r="G113" i="13"/>
  <c r="E113" i="13"/>
  <c r="F113" i="13" l="1"/>
  <c r="F117" i="13"/>
  <c r="E127" i="12"/>
  <c r="E133" i="12"/>
  <c r="B36" i="10"/>
  <c r="F13" i="8" l="1"/>
  <c r="G519" i="13" l="1"/>
  <c r="G515" i="13"/>
  <c r="G483" i="13"/>
  <c r="G479" i="13"/>
  <c r="G353" i="13"/>
  <c r="E448" i="12" s="1"/>
  <c r="E447" i="12" s="1"/>
  <c r="G341" i="13"/>
  <c r="G260" i="13"/>
  <c r="G175" i="13"/>
  <c r="G159" i="13"/>
  <c r="G337" i="13" l="1"/>
  <c r="G333" i="13" s="1"/>
  <c r="G332" i="13" s="1"/>
  <c r="E424" i="12"/>
  <c r="G62" i="13"/>
  <c r="G276" i="13"/>
  <c r="G272" i="13"/>
  <c r="G336" i="13" l="1"/>
  <c r="G544" i="13"/>
  <c r="G324" i="13"/>
  <c r="G256" i="13"/>
  <c r="G280" i="13"/>
  <c r="G268" i="13"/>
  <c r="G252" i="13"/>
  <c r="E319" i="12" s="1"/>
  <c r="G300" i="13"/>
  <c r="G308" i="13"/>
  <c r="G244" i="13"/>
  <c r="G264" i="13"/>
  <c r="G248" i="13"/>
  <c r="G240" i="13"/>
  <c r="G228" i="13"/>
  <c r="G179" i="13"/>
  <c r="G163" i="13"/>
  <c r="G199" i="13"/>
  <c r="G195" i="13"/>
  <c r="G191" i="13"/>
  <c r="G207" i="13"/>
  <c r="G155" i="13"/>
  <c r="G211" i="13"/>
  <c r="G151" i="13"/>
  <c r="G98" i="13"/>
  <c r="G94" i="13"/>
  <c r="G54" i="13"/>
  <c r="F54" i="13" s="1"/>
  <c r="G74" i="13"/>
  <c r="G38" i="13"/>
  <c r="G292" i="13"/>
  <c r="G560" i="13"/>
  <c r="G106" i="13"/>
  <c r="G233" i="13"/>
  <c r="G232" i="13"/>
  <c r="G144" i="13"/>
  <c r="G143" i="13"/>
  <c r="G139" i="13"/>
  <c r="G42" i="13"/>
  <c r="G43" i="13"/>
  <c r="E13" i="12" l="1"/>
  <c r="F38" i="13"/>
  <c r="F13" i="7"/>
  <c r="G13" i="7"/>
  <c r="H13" i="7"/>
  <c r="I13" i="7"/>
  <c r="J13" i="7"/>
  <c r="K16" i="7"/>
  <c r="K17" i="7"/>
  <c r="K13" i="7" l="1"/>
  <c r="G316" i="13"/>
  <c r="E172" i="12" l="1"/>
  <c r="E288" i="13" l="1"/>
  <c r="G288" i="13"/>
  <c r="H288" i="13"/>
  <c r="I288" i="13"/>
  <c r="J288" i="13"/>
  <c r="K288" i="13"/>
  <c r="E414" i="12"/>
  <c r="E413" i="12"/>
  <c r="E412" i="12"/>
  <c r="E411" i="12"/>
  <c r="E410" i="12"/>
  <c r="F318" i="13"/>
  <c r="F317" i="13"/>
  <c r="F316" i="13"/>
  <c r="K315" i="13"/>
  <c r="J315" i="13"/>
  <c r="I315" i="13"/>
  <c r="H315" i="13"/>
  <c r="G315" i="13"/>
  <c r="E315" i="13"/>
  <c r="F315" i="13" l="1"/>
  <c r="E409" i="12"/>
  <c r="G414" i="13"/>
  <c r="G410" i="13" s="1"/>
  <c r="G236" i="13"/>
  <c r="G58" i="13" l="1"/>
  <c r="G50" i="13"/>
  <c r="E746" i="12" l="1"/>
  <c r="E745" i="12"/>
  <c r="E744" i="12"/>
  <c r="E743" i="12"/>
  <c r="E742" i="12"/>
  <c r="F578" i="13"/>
  <c r="F577" i="13"/>
  <c r="F576" i="13"/>
  <c r="K575" i="13"/>
  <c r="J575" i="13"/>
  <c r="I575" i="13"/>
  <c r="H575" i="13"/>
  <c r="G575" i="13"/>
  <c r="E575" i="13"/>
  <c r="G564" i="13"/>
  <c r="G556" i="13"/>
  <c r="G552" i="13"/>
  <c r="E371" i="12"/>
  <c r="E370" i="12"/>
  <c r="E369" i="12"/>
  <c r="E368" i="12"/>
  <c r="E367" i="12"/>
  <c r="G540" i="13" l="1"/>
  <c r="E741" i="12"/>
  <c r="F575" i="13"/>
  <c r="E366" i="12"/>
  <c r="E225" i="13"/>
  <c r="G225" i="13"/>
  <c r="H225" i="13"/>
  <c r="I225" i="13"/>
  <c r="J225" i="13"/>
  <c r="K225" i="13"/>
  <c r="F286" i="13"/>
  <c r="F285" i="13"/>
  <c r="F284" i="13"/>
  <c r="K283" i="13"/>
  <c r="J283" i="13"/>
  <c r="I283" i="13"/>
  <c r="H283" i="13"/>
  <c r="G283" i="13"/>
  <c r="E283" i="13"/>
  <c r="E234" i="12"/>
  <c r="E236" i="12"/>
  <c r="E235" i="12"/>
  <c r="E233" i="12"/>
  <c r="E232" i="12"/>
  <c r="E136" i="13"/>
  <c r="G136" i="13"/>
  <c r="H136" i="13"/>
  <c r="I136" i="13"/>
  <c r="J136" i="13"/>
  <c r="K136" i="13"/>
  <c r="F184" i="13"/>
  <c r="F185" i="13"/>
  <c r="F183" i="13"/>
  <c r="K182" i="13"/>
  <c r="J182" i="13"/>
  <c r="I182" i="13"/>
  <c r="H182" i="13"/>
  <c r="G182" i="13"/>
  <c r="E182" i="13"/>
  <c r="E89" i="12"/>
  <c r="E88" i="12"/>
  <c r="E87" i="12"/>
  <c r="E86" i="12"/>
  <c r="E85" i="12"/>
  <c r="E35" i="13"/>
  <c r="G35" i="13"/>
  <c r="H35" i="13"/>
  <c r="I35" i="13"/>
  <c r="J35" i="13"/>
  <c r="K35" i="13"/>
  <c r="F84" i="13"/>
  <c r="F83" i="13"/>
  <c r="G81" i="13"/>
  <c r="K81" i="13"/>
  <c r="J81" i="13"/>
  <c r="I81" i="13"/>
  <c r="H81" i="13"/>
  <c r="E81" i="13"/>
  <c r="F182" i="13" l="1"/>
  <c r="F283" i="13"/>
  <c r="E231" i="12"/>
  <c r="E84" i="12"/>
  <c r="F82" i="13"/>
  <c r="F81" i="13" l="1"/>
  <c r="E126" i="12"/>
  <c r="E125" i="12"/>
  <c r="E124" i="12"/>
  <c r="E123" i="12"/>
  <c r="E122" i="12"/>
  <c r="E121" i="12" l="1"/>
  <c r="G78" i="13"/>
  <c r="F112" i="13"/>
  <c r="F111" i="13"/>
  <c r="E109" i="13"/>
  <c r="E671" i="12" l="1"/>
  <c r="E670" i="12"/>
  <c r="E669" i="12"/>
  <c r="E668" i="12"/>
  <c r="E667" i="12"/>
  <c r="G495" i="13" l="1"/>
  <c r="E648" i="12" l="1"/>
  <c r="E628" i="12"/>
  <c r="E627" i="12"/>
  <c r="E626" i="12"/>
  <c r="E625" i="12"/>
  <c r="E686" i="12" l="1"/>
  <c r="E674" i="12"/>
  <c r="E673" i="12"/>
  <c r="E657" i="12"/>
  <c r="E656" i="12"/>
  <c r="E655" i="12"/>
  <c r="E642" i="12"/>
  <c r="E640" i="12"/>
  <c r="E639" i="12"/>
  <c r="E638" i="12"/>
  <c r="E637" i="12"/>
  <c r="E636" i="12"/>
  <c r="H475" i="13" l="1"/>
  <c r="G475" i="13"/>
  <c r="E408" i="12" l="1"/>
  <c r="E407" i="12"/>
  <c r="E406" i="12"/>
  <c r="E405" i="12"/>
  <c r="E404" i="12"/>
  <c r="F314" i="13"/>
  <c r="F313" i="13"/>
  <c r="F312" i="13"/>
  <c r="K311" i="13"/>
  <c r="J311" i="13"/>
  <c r="I311" i="13"/>
  <c r="H311" i="13"/>
  <c r="G311" i="13"/>
  <c r="E311" i="13"/>
  <c r="F501" i="13"/>
  <c r="E501" i="13"/>
  <c r="F500" i="13"/>
  <c r="E500" i="13"/>
  <c r="I475" i="13"/>
  <c r="H498" i="13"/>
  <c r="G498" i="13"/>
  <c r="E498" i="13" l="1"/>
  <c r="F311" i="13"/>
  <c r="E403" i="12"/>
  <c r="I498" i="13"/>
  <c r="J475" i="13"/>
  <c r="F499" i="13" l="1"/>
  <c r="J498" i="13"/>
  <c r="K498" i="13" l="1"/>
  <c r="F498" i="13" s="1"/>
  <c r="K475" i="13"/>
  <c r="E523" i="12" l="1"/>
  <c r="E524" i="12"/>
  <c r="E525" i="12"/>
  <c r="E526" i="12"/>
  <c r="E527" i="12"/>
  <c r="E522" i="12" l="1"/>
  <c r="G407" i="13" l="1"/>
  <c r="H407" i="13"/>
  <c r="I407" i="13"/>
  <c r="K407" i="13"/>
  <c r="E407" i="13"/>
  <c r="G406" i="13"/>
  <c r="I406" i="13"/>
  <c r="J406" i="13"/>
  <c r="K406" i="13"/>
  <c r="I405" i="13"/>
  <c r="K405" i="13"/>
  <c r="F391" i="13"/>
  <c r="F375" i="13" s="1"/>
  <c r="F390" i="13"/>
  <c r="F374" i="13" s="1"/>
  <c r="F389" i="13"/>
  <c r="K388" i="13"/>
  <c r="J388" i="13"/>
  <c r="I388" i="13"/>
  <c r="H388" i="13"/>
  <c r="G388" i="13"/>
  <c r="E388" i="13"/>
  <c r="F359" i="13"/>
  <c r="F358" i="13"/>
  <c r="F357" i="13"/>
  <c r="K356" i="13"/>
  <c r="J356" i="13"/>
  <c r="I356" i="13"/>
  <c r="H356" i="13"/>
  <c r="G356" i="13"/>
  <c r="E356" i="13"/>
  <c r="F355" i="13"/>
  <c r="F354" i="13"/>
  <c r="F353" i="13"/>
  <c r="K352" i="13"/>
  <c r="J352" i="13"/>
  <c r="I352" i="13"/>
  <c r="H352" i="13"/>
  <c r="G352" i="13"/>
  <c r="E352" i="13"/>
  <c r="F351" i="13"/>
  <c r="F350" i="13"/>
  <c r="F349" i="13"/>
  <c r="K348" i="13"/>
  <c r="J348" i="13"/>
  <c r="I348" i="13"/>
  <c r="H348" i="13"/>
  <c r="E441" i="12" s="1"/>
  <c r="G348" i="13"/>
  <c r="E348" i="13"/>
  <c r="F343" i="13"/>
  <c r="F342" i="13"/>
  <c r="E423" i="12"/>
  <c r="K340" i="13"/>
  <c r="J340" i="13"/>
  <c r="I340" i="13"/>
  <c r="H340" i="13"/>
  <c r="G340" i="13"/>
  <c r="E340" i="13"/>
  <c r="J407" i="13"/>
  <c r="H406" i="13"/>
  <c r="E406" i="13"/>
  <c r="J405" i="13"/>
  <c r="H405" i="13"/>
  <c r="F373" i="13" l="1"/>
  <c r="F372" i="13" s="1"/>
  <c r="F339" i="13"/>
  <c r="F335" i="13" s="1"/>
  <c r="F338" i="13"/>
  <c r="F334" i="13" s="1"/>
  <c r="F406" i="13" s="1"/>
  <c r="F348" i="13"/>
  <c r="F356" i="13"/>
  <c r="F388" i="13"/>
  <c r="E404" i="13"/>
  <c r="F341" i="13"/>
  <c r="F337" i="13" s="1"/>
  <c r="F352" i="13"/>
  <c r="I404" i="13"/>
  <c r="J404" i="13"/>
  <c r="K404" i="13"/>
  <c r="H404" i="13"/>
  <c r="F333" i="13" l="1"/>
  <c r="F332" i="13" s="1"/>
  <c r="F336" i="13"/>
  <c r="G405" i="13"/>
  <c r="G404" i="13" s="1"/>
  <c r="F340" i="13"/>
  <c r="E542" i="13"/>
  <c r="G542" i="13"/>
  <c r="H542" i="13"/>
  <c r="I542" i="13"/>
  <c r="J542" i="13"/>
  <c r="K542" i="13"/>
  <c r="G541" i="13"/>
  <c r="H541" i="13"/>
  <c r="I541" i="13"/>
  <c r="J541" i="13"/>
  <c r="K541" i="13"/>
  <c r="E541" i="13"/>
  <c r="E540" i="13"/>
  <c r="G529" i="13"/>
  <c r="H529" i="13"/>
  <c r="I529" i="13"/>
  <c r="J529" i="13"/>
  <c r="K529" i="13"/>
  <c r="G528" i="13"/>
  <c r="H528" i="13"/>
  <c r="I528" i="13"/>
  <c r="J528" i="13"/>
  <c r="K528" i="13"/>
  <c r="G527" i="13"/>
  <c r="H527" i="13"/>
  <c r="I527" i="13"/>
  <c r="J527" i="13"/>
  <c r="K527" i="13"/>
  <c r="G505" i="13"/>
  <c r="H505" i="13"/>
  <c r="I505" i="13"/>
  <c r="J505" i="13"/>
  <c r="K505" i="13"/>
  <c r="G504" i="13"/>
  <c r="H504" i="13"/>
  <c r="I504" i="13"/>
  <c r="J504" i="13"/>
  <c r="K504" i="13"/>
  <c r="G503" i="13"/>
  <c r="H503" i="13"/>
  <c r="G476" i="13"/>
  <c r="H476" i="13"/>
  <c r="I476" i="13"/>
  <c r="J476" i="13"/>
  <c r="K476" i="13"/>
  <c r="E558" i="12"/>
  <c r="E557" i="12"/>
  <c r="E556" i="12"/>
  <c r="E555" i="12"/>
  <c r="E554" i="12"/>
  <c r="E552" i="12"/>
  <c r="E551" i="12"/>
  <c r="E550" i="12"/>
  <c r="E549" i="12"/>
  <c r="E548" i="12"/>
  <c r="E444" i="13"/>
  <c r="E424" i="13"/>
  <c r="E224" i="13"/>
  <c r="H224" i="13"/>
  <c r="I224" i="13"/>
  <c r="J224" i="13"/>
  <c r="K224" i="13"/>
  <c r="E226" i="13"/>
  <c r="G226" i="13"/>
  <c r="H226" i="13"/>
  <c r="I226" i="13"/>
  <c r="J226" i="13"/>
  <c r="K226" i="13"/>
  <c r="F405" i="13" l="1"/>
  <c r="E553" i="12"/>
  <c r="E547" i="12"/>
  <c r="G322" i="13"/>
  <c r="H322" i="13"/>
  <c r="I322" i="13"/>
  <c r="J322" i="13"/>
  <c r="K322" i="13"/>
  <c r="E322" i="13"/>
  <c r="G321" i="13"/>
  <c r="H321" i="13"/>
  <c r="I321" i="13"/>
  <c r="J321" i="13"/>
  <c r="K321" i="13"/>
  <c r="E321" i="13"/>
  <c r="E320" i="13"/>
  <c r="H320" i="13"/>
  <c r="I320" i="13"/>
  <c r="J320" i="13"/>
  <c r="K320" i="13"/>
  <c r="E293" i="12" l="1"/>
  <c r="E292" i="12"/>
  <c r="E291" i="12"/>
  <c r="E290" i="12"/>
  <c r="E289" i="12"/>
  <c r="E164" i="12"/>
  <c r="E163" i="12"/>
  <c r="E162" i="12"/>
  <c r="E161" i="12"/>
  <c r="E160" i="12"/>
  <c r="E29" i="12"/>
  <c r="E28" i="12"/>
  <c r="E27" i="12"/>
  <c r="E26" i="12"/>
  <c r="E25" i="12"/>
  <c r="E288" i="12" l="1"/>
  <c r="E159" i="12"/>
  <c r="E24" i="12"/>
  <c r="E679" i="12" l="1"/>
  <c r="E624" i="12"/>
  <c r="E618" i="12"/>
  <c r="E666" i="12"/>
  <c r="E660" i="12"/>
  <c r="F533" i="13"/>
  <c r="F529" i="13" s="1"/>
  <c r="E533" i="13"/>
  <c r="E529" i="13" s="1"/>
  <c r="F532" i="13"/>
  <c r="F528" i="13" s="1"/>
  <c r="E532" i="13"/>
  <c r="E528" i="13" s="1"/>
  <c r="F531" i="13"/>
  <c r="F527" i="13" s="1"/>
  <c r="E531" i="13"/>
  <c r="E527" i="13" s="1"/>
  <c r="K530" i="13"/>
  <c r="J530" i="13"/>
  <c r="I530" i="13"/>
  <c r="H530" i="13"/>
  <c r="G530" i="13"/>
  <c r="F525" i="13"/>
  <c r="E525" i="13"/>
  <c r="F524" i="13"/>
  <c r="E524" i="13"/>
  <c r="F523" i="13"/>
  <c r="E523" i="13"/>
  <c r="K522" i="13"/>
  <c r="J522" i="13"/>
  <c r="I522" i="13"/>
  <c r="H522" i="13"/>
  <c r="G522" i="13"/>
  <c r="F521" i="13"/>
  <c r="E521" i="13"/>
  <c r="F520" i="13"/>
  <c r="E520" i="13"/>
  <c r="F519" i="13"/>
  <c r="E519" i="13"/>
  <c r="K518" i="13"/>
  <c r="J518" i="13"/>
  <c r="I518" i="13"/>
  <c r="H518" i="13"/>
  <c r="G518" i="13"/>
  <c r="F517" i="13"/>
  <c r="E517" i="13"/>
  <c r="F516" i="13"/>
  <c r="E516" i="13"/>
  <c r="F515" i="13"/>
  <c r="E515" i="13"/>
  <c r="K514" i="13"/>
  <c r="J514" i="13"/>
  <c r="I514" i="13"/>
  <c r="H514" i="13"/>
  <c r="G514" i="13"/>
  <c r="F513" i="13"/>
  <c r="E513" i="13"/>
  <c r="F512" i="13"/>
  <c r="E512" i="13"/>
  <c r="F511" i="13"/>
  <c r="E511" i="13"/>
  <c r="K510" i="13"/>
  <c r="J510" i="13"/>
  <c r="I510" i="13"/>
  <c r="H510" i="13"/>
  <c r="G510" i="13"/>
  <c r="F509" i="13"/>
  <c r="E509" i="13"/>
  <c r="F508" i="13"/>
  <c r="E508" i="13"/>
  <c r="F507" i="13"/>
  <c r="E507" i="13"/>
  <c r="K506" i="13"/>
  <c r="J506" i="13"/>
  <c r="I506" i="13"/>
  <c r="H506" i="13"/>
  <c r="G506" i="13"/>
  <c r="F497" i="13"/>
  <c r="E497" i="13"/>
  <c r="F496" i="13"/>
  <c r="E496" i="13"/>
  <c r="F495" i="13"/>
  <c r="E495" i="13"/>
  <c r="K494" i="13"/>
  <c r="J494" i="13"/>
  <c r="I494" i="13"/>
  <c r="H494" i="13"/>
  <c r="G494" i="13"/>
  <c r="F493" i="13"/>
  <c r="E493" i="13"/>
  <c r="F492" i="13"/>
  <c r="E492" i="13"/>
  <c r="F491" i="13"/>
  <c r="E491" i="13"/>
  <c r="K490" i="13"/>
  <c r="J490" i="13"/>
  <c r="I490" i="13"/>
  <c r="H490" i="13"/>
  <c r="G490" i="13"/>
  <c r="F489" i="13"/>
  <c r="E489" i="13"/>
  <c r="F488" i="13"/>
  <c r="E488" i="13"/>
  <c r="F487" i="13"/>
  <c r="E487" i="13"/>
  <c r="K486" i="13"/>
  <c r="J486" i="13"/>
  <c r="I486" i="13"/>
  <c r="H486" i="13"/>
  <c r="G486" i="13"/>
  <c r="F485" i="13"/>
  <c r="E485" i="13"/>
  <c r="F484" i="13"/>
  <c r="E484" i="13"/>
  <c r="F483" i="13"/>
  <c r="E483" i="13"/>
  <c r="K482" i="13"/>
  <c r="J482" i="13"/>
  <c r="I482" i="13"/>
  <c r="H482" i="13"/>
  <c r="G482" i="13"/>
  <c r="F481" i="13"/>
  <c r="E481" i="13"/>
  <c r="F480" i="13"/>
  <c r="E480" i="13"/>
  <c r="F479" i="13"/>
  <c r="K478" i="13"/>
  <c r="J478" i="13"/>
  <c r="I478" i="13"/>
  <c r="H478" i="13"/>
  <c r="G478" i="13"/>
  <c r="K477" i="13"/>
  <c r="J477" i="13"/>
  <c r="I477" i="13"/>
  <c r="H477" i="13"/>
  <c r="G477" i="13"/>
  <c r="F475" i="13" l="1"/>
  <c r="F476" i="13"/>
  <c r="E475" i="13"/>
  <c r="E503" i="13"/>
  <c r="E505" i="13"/>
  <c r="E477" i="13"/>
  <c r="F503" i="13"/>
  <c r="F505" i="13"/>
  <c r="E504" i="13"/>
  <c r="E476" i="13"/>
  <c r="F504" i="13"/>
  <c r="K474" i="13"/>
  <c r="I537" i="13"/>
  <c r="G526" i="13"/>
  <c r="K526" i="13"/>
  <c r="E482" i="13"/>
  <c r="F486" i="13"/>
  <c r="E510" i="13"/>
  <c r="E478" i="13"/>
  <c r="G502" i="13"/>
  <c r="K502" i="13"/>
  <c r="E518" i="13"/>
  <c r="G537" i="13"/>
  <c r="K537" i="13"/>
  <c r="F514" i="13"/>
  <c r="F518" i="13"/>
  <c r="I526" i="13"/>
  <c r="F530" i="13"/>
  <c r="H537" i="13"/>
  <c r="F477" i="13"/>
  <c r="J474" i="13"/>
  <c r="E490" i="13"/>
  <c r="F494" i="13"/>
  <c r="F506" i="13"/>
  <c r="E522" i="13"/>
  <c r="E530" i="13"/>
  <c r="H474" i="13"/>
  <c r="I474" i="13"/>
  <c r="F490" i="13"/>
  <c r="I502" i="13"/>
  <c r="H502" i="13"/>
  <c r="G535" i="13"/>
  <c r="G534" i="13" s="1"/>
  <c r="K535" i="13"/>
  <c r="K534" i="13" s="1"/>
  <c r="J502" i="13"/>
  <c r="E486" i="13"/>
  <c r="E514" i="13"/>
  <c r="F522" i="13"/>
  <c r="I535" i="13"/>
  <c r="I534" i="13" s="1"/>
  <c r="J537" i="13"/>
  <c r="F482" i="13"/>
  <c r="F510" i="13"/>
  <c r="H526" i="13"/>
  <c r="J526" i="13"/>
  <c r="E617" i="12"/>
  <c r="E641" i="12"/>
  <c r="E659" i="12"/>
  <c r="E658" i="12"/>
  <c r="E633" i="12"/>
  <c r="E634" i="12" s="1"/>
  <c r="E672" i="12"/>
  <c r="E685" i="12"/>
  <c r="G474" i="13"/>
  <c r="E494" i="13"/>
  <c r="E506" i="13"/>
  <c r="J535" i="13"/>
  <c r="J534" i="13" s="1"/>
  <c r="F478" i="13"/>
  <c r="H535" i="13"/>
  <c r="H534" i="13" s="1"/>
  <c r="E535" i="13" l="1"/>
  <c r="E526" i="13"/>
  <c r="F474" i="13"/>
  <c r="E537" i="13"/>
  <c r="F526" i="13"/>
  <c r="F537" i="13"/>
  <c r="E502" i="13"/>
  <c r="F502" i="13"/>
  <c r="E536" i="13"/>
  <c r="E534" i="13" s="1"/>
  <c r="F535" i="13"/>
  <c r="F534" i="13" s="1"/>
  <c r="E654" i="12"/>
  <c r="E635" i="12"/>
  <c r="E623" i="12"/>
  <c r="E678" i="12"/>
  <c r="E629" i="12"/>
  <c r="E474" i="13"/>
  <c r="K436" i="13" l="1"/>
  <c r="I436" i="13" s="1"/>
  <c r="F435" i="13"/>
  <c r="F434" i="13"/>
  <c r="J433" i="13"/>
  <c r="H433" i="13"/>
  <c r="E433" i="13"/>
  <c r="K432" i="13"/>
  <c r="I432" i="13" s="1"/>
  <c r="F431" i="13"/>
  <c r="F430" i="13"/>
  <c r="J429" i="13"/>
  <c r="H429" i="13"/>
  <c r="E429" i="13"/>
  <c r="G224" i="13"/>
  <c r="I429" i="13" l="1"/>
  <c r="G432" i="13"/>
  <c r="K429" i="13"/>
  <c r="I433" i="13"/>
  <c r="G436" i="13"/>
  <c r="K433" i="13"/>
  <c r="E647" i="12" l="1"/>
  <c r="F432" i="13"/>
  <c r="F429" i="13" s="1"/>
  <c r="G429" i="13"/>
  <c r="G433" i="13"/>
  <c r="F436" i="13"/>
  <c r="F433" i="13" s="1"/>
  <c r="G320" i="13" l="1"/>
  <c r="E187" i="13" l="1"/>
  <c r="K187" i="13"/>
  <c r="J187" i="13"/>
  <c r="I187" i="13"/>
  <c r="H187" i="13"/>
  <c r="G187" i="13"/>
  <c r="E734" i="12" l="1"/>
  <c r="E733" i="12"/>
  <c r="E732" i="12"/>
  <c r="E731" i="12"/>
  <c r="E730" i="12"/>
  <c r="E728" i="12"/>
  <c r="E727" i="12"/>
  <c r="E726" i="12"/>
  <c r="E725" i="12"/>
  <c r="E724" i="12"/>
  <c r="E722" i="12"/>
  <c r="E721" i="12"/>
  <c r="E720" i="12"/>
  <c r="E719" i="12"/>
  <c r="E718" i="12"/>
  <c r="E716" i="12"/>
  <c r="E715" i="12"/>
  <c r="E714" i="12"/>
  <c r="E713" i="12"/>
  <c r="E712" i="12"/>
  <c r="E710" i="12"/>
  <c r="E709" i="12"/>
  <c r="E708" i="12"/>
  <c r="E707" i="12"/>
  <c r="E706" i="12"/>
  <c r="E704" i="12"/>
  <c r="E703" i="12"/>
  <c r="E702" i="12"/>
  <c r="E701" i="12"/>
  <c r="E700" i="12"/>
  <c r="E224" i="12"/>
  <c r="E223" i="12"/>
  <c r="E222" i="12"/>
  <c r="E221" i="12"/>
  <c r="E220" i="12"/>
  <c r="E230" i="12"/>
  <c r="E229" i="12"/>
  <c r="E228" i="12"/>
  <c r="E227" i="12"/>
  <c r="E226" i="12"/>
  <c r="E705" i="12" l="1"/>
  <c r="E717" i="12"/>
  <c r="E699" i="12"/>
  <c r="E711" i="12"/>
  <c r="E723" i="12"/>
  <c r="E219" i="12"/>
  <c r="E225" i="12"/>
  <c r="E365" i="12"/>
  <c r="E364" i="12"/>
  <c r="E363" i="12"/>
  <c r="E362" i="12"/>
  <c r="E361" i="12"/>
  <c r="E359" i="12"/>
  <c r="E358" i="12"/>
  <c r="E357" i="12"/>
  <c r="E356" i="12"/>
  <c r="E355" i="12"/>
  <c r="E353" i="12"/>
  <c r="E352" i="12"/>
  <c r="E351" i="12"/>
  <c r="E350" i="12"/>
  <c r="E349" i="12"/>
  <c r="E347" i="12"/>
  <c r="E346" i="12"/>
  <c r="E345" i="12"/>
  <c r="E344" i="12"/>
  <c r="E343" i="12"/>
  <c r="E341" i="12"/>
  <c r="E340" i="12"/>
  <c r="E339" i="12"/>
  <c r="E338" i="12"/>
  <c r="E337" i="12"/>
  <c r="E335" i="12"/>
  <c r="E334" i="12"/>
  <c r="E333" i="12"/>
  <c r="E332" i="12"/>
  <c r="E331" i="12"/>
  <c r="E329" i="12"/>
  <c r="E328" i="12"/>
  <c r="E327" i="12"/>
  <c r="E326" i="12"/>
  <c r="E325" i="12"/>
  <c r="E323" i="12"/>
  <c r="E322" i="12"/>
  <c r="E321" i="12"/>
  <c r="E317" i="12"/>
  <c r="E316" i="12"/>
  <c r="E315" i="12"/>
  <c r="E314" i="12"/>
  <c r="E313" i="12"/>
  <c r="E301" i="12"/>
  <c r="E354" i="12" l="1"/>
  <c r="E348" i="12"/>
  <c r="E342" i="12"/>
  <c r="E336" i="12"/>
  <c r="E360" i="12"/>
  <c r="E330" i="12"/>
  <c r="E324" i="12"/>
  <c r="E218" i="12" l="1"/>
  <c r="E217" i="12"/>
  <c r="E216" i="12"/>
  <c r="E215" i="12"/>
  <c r="E214" i="12"/>
  <c r="E212" i="12"/>
  <c r="E211" i="12"/>
  <c r="E210" i="12"/>
  <c r="E209" i="12"/>
  <c r="E208" i="12"/>
  <c r="E206" i="12"/>
  <c r="E205" i="12"/>
  <c r="E203" i="12"/>
  <c r="E202" i="12"/>
  <c r="E200" i="12"/>
  <c r="E199" i="12"/>
  <c r="E198" i="12"/>
  <c r="E197" i="12"/>
  <c r="E196" i="12"/>
  <c r="E194" i="12"/>
  <c r="E193" i="12"/>
  <c r="E192" i="12"/>
  <c r="E191" i="12"/>
  <c r="E190" i="12"/>
  <c r="E188" i="12"/>
  <c r="E187" i="12"/>
  <c r="E186" i="12"/>
  <c r="E185" i="12"/>
  <c r="E184" i="12"/>
  <c r="E137" i="13"/>
  <c r="G137" i="13"/>
  <c r="H137" i="13"/>
  <c r="I137" i="13"/>
  <c r="J137" i="13"/>
  <c r="K137" i="13"/>
  <c r="E135" i="13"/>
  <c r="G135" i="13"/>
  <c r="H135" i="13"/>
  <c r="I135" i="13"/>
  <c r="J135" i="13"/>
  <c r="K135" i="13"/>
  <c r="E36" i="13"/>
  <c r="G36" i="13"/>
  <c r="H36" i="13"/>
  <c r="I36" i="13"/>
  <c r="J36" i="13"/>
  <c r="K36" i="13"/>
  <c r="E34" i="13"/>
  <c r="I34" i="13"/>
  <c r="J34" i="13"/>
  <c r="K34" i="13"/>
  <c r="E83" i="12"/>
  <c r="E82" i="12"/>
  <c r="E81" i="12"/>
  <c r="E80" i="12"/>
  <c r="E79" i="12"/>
  <c r="E77" i="12"/>
  <c r="E76" i="12"/>
  <c r="E75" i="12"/>
  <c r="E74" i="12"/>
  <c r="E73" i="12"/>
  <c r="E71" i="12"/>
  <c r="E70" i="12"/>
  <c r="E69" i="12"/>
  <c r="E68" i="12"/>
  <c r="E67" i="12"/>
  <c r="E65" i="12"/>
  <c r="E64" i="12"/>
  <c r="E63" i="12"/>
  <c r="E62" i="12"/>
  <c r="E61" i="12"/>
  <c r="E59" i="12"/>
  <c r="E58" i="12"/>
  <c r="E57" i="12"/>
  <c r="E56" i="12"/>
  <c r="E55" i="12"/>
  <c r="E53" i="12"/>
  <c r="E52" i="12"/>
  <c r="E51" i="12"/>
  <c r="E50" i="12"/>
  <c r="E49" i="12"/>
  <c r="E207" i="12" l="1"/>
  <c r="E183" i="12"/>
  <c r="E195" i="12"/>
  <c r="E213" i="12"/>
  <c r="E189" i="12"/>
  <c r="E78" i="12"/>
  <c r="E72" i="12"/>
  <c r="E66" i="12"/>
  <c r="E60" i="12"/>
  <c r="E54" i="12"/>
  <c r="E48" i="12"/>
  <c r="F566" i="13"/>
  <c r="F565" i="13"/>
  <c r="F564" i="13"/>
  <c r="K563" i="13"/>
  <c r="J563" i="13"/>
  <c r="I563" i="13"/>
  <c r="H563" i="13"/>
  <c r="G563" i="13"/>
  <c r="E563" i="13"/>
  <c r="F562" i="13"/>
  <c r="F561" i="13"/>
  <c r="F560" i="13"/>
  <c r="K559" i="13"/>
  <c r="J559" i="13"/>
  <c r="I559" i="13"/>
  <c r="H559" i="13"/>
  <c r="G559" i="13"/>
  <c r="E559" i="13"/>
  <c r="F558" i="13"/>
  <c r="F557" i="13"/>
  <c r="F556" i="13"/>
  <c r="K555" i="13"/>
  <c r="J555" i="13"/>
  <c r="I555" i="13"/>
  <c r="H555" i="13"/>
  <c r="G555" i="13"/>
  <c r="E555" i="13"/>
  <c r="F554" i="13"/>
  <c r="F553" i="13"/>
  <c r="F552" i="13"/>
  <c r="K551" i="13"/>
  <c r="J551" i="13"/>
  <c r="I551" i="13"/>
  <c r="H551" i="13"/>
  <c r="E551" i="13"/>
  <c r="F563" i="13" l="1"/>
  <c r="F559" i="13"/>
  <c r="F551" i="13"/>
  <c r="F555" i="13"/>
  <c r="G551" i="13"/>
  <c r="F550" i="13"/>
  <c r="F549" i="13"/>
  <c r="F548" i="13"/>
  <c r="K547" i="13"/>
  <c r="J547" i="13"/>
  <c r="I547" i="13"/>
  <c r="H547" i="13"/>
  <c r="E547" i="13"/>
  <c r="F547" i="13" l="1"/>
  <c r="G547" i="13"/>
  <c r="F278" i="13"/>
  <c r="F277" i="13"/>
  <c r="F276" i="13"/>
  <c r="K275" i="13"/>
  <c r="J275" i="13"/>
  <c r="I275" i="13"/>
  <c r="H275" i="13"/>
  <c r="G275" i="13"/>
  <c r="E275" i="13"/>
  <c r="E279" i="13"/>
  <c r="G279" i="13"/>
  <c r="H279" i="13"/>
  <c r="I279" i="13"/>
  <c r="J279" i="13"/>
  <c r="K279" i="13"/>
  <c r="F280" i="13"/>
  <c r="F281" i="13"/>
  <c r="F282" i="13"/>
  <c r="F274" i="13"/>
  <c r="F273" i="13"/>
  <c r="F272" i="13"/>
  <c r="K271" i="13"/>
  <c r="J271" i="13"/>
  <c r="I271" i="13"/>
  <c r="H271" i="13"/>
  <c r="G271" i="13"/>
  <c r="E271" i="13"/>
  <c r="F270" i="13"/>
  <c r="F269" i="13"/>
  <c r="F268" i="13"/>
  <c r="K267" i="13"/>
  <c r="J267" i="13"/>
  <c r="I267" i="13"/>
  <c r="H267" i="13"/>
  <c r="G267" i="13"/>
  <c r="E267" i="13"/>
  <c r="F266" i="13"/>
  <c r="F265" i="13"/>
  <c r="F264" i="13"/>
  <c r="K263" i="13"/>
  <c r="J263" i="13"/>
  <c r="I263" i="13"/>
  <c r="H263" i="13"/>
  <c r="G263" i="13"/>
  <c r="E263" i="13"/>
  <c r="F262" i="13"/>
  <c r="F261" i="13"/>
  <c r="F260" i="13"/>
  <c r="K259" i="13"/>
  <c r="J259" i="13"/>
  <c r="I259" i="13"/>
  <c r="H259" i="13"/>
  <c r="G259" i="13"/>
  <c r="E259" i="13"/>
  <c r="F258" i="13"/>
  <c r="F257" i="13"/>
  <c r="F256" i="13"/>
  <c r="K255" i="13"/>
  <c r="J255" i="13"/>
  <c r="I255" i="13"/>
  <c r="H255" i="13"/>
  <c r="G255" i="13"/>
  <c r="E255" i="13"/>
  <c r="F254" i="13"/>
  <c r="F253" i="13"/>
  <c r="F252" i="13"/>
  <c r="K251" i="13"/>
  <c r="J251" i="13"/>
  <c r="I251" i="13"/>
  <c r="H251" i="13"/>
  <c r="E320" i="12" s="1"/>
  <c r="E318" i="12" s="1"/>
  <c r="G251" i="13"/>
  <c r="E251" i="13"/>
  <c r="F250" i="13"/>
  <c r="F249" i="13"/>
  <c r="F248" i="13"/>
  <c r="K247" i="13"/>
  <c r="J247" i="13"/>
  <c r="I247" i="13"/>
  <c r="H247" i="13"/>
  <c r="G247" i="13"/>
  <c r="E247" i="13"/>
  <c r="F181" i="13"/>
  <c r="F180" i="13"/>
  <c r="F179" i="13"/>
  <c r="K178" i="13"/>
  <c r="J178" i="13"/>
  <c r="I178" i="13"/>
  <c r="H178" i="13"/>
  <c r="G178" i="13"/>
  <c r="E178" i="13"/>
  <c r="F177" i="13"/>
  <c r="F176" i="13"/>
  <c r="F175" i="13"/>
  <c r="K174" i="13"/>
  <c r="J174" i="13"/>
  <c r="I174" i="13"/>
  <c r="H174" i="13"/>
  <c r="G174" i="13"/>
  <c r="E174" i="13"/>
  <c r="F173" i="13"/>
  <c r="F172" i="13"/>
  <c r="F171" i="13"/>
  <c r="K170" i="13"/>
  <c r="J170" i="13"/>
  <c r="I170" i="13"/>
  <c r="E204" i="12" s="1"/>
  <c r="E201" i="12" s="1"/>
  <c r="H170" i="13"/>
  <c r="G170" i="13"/>
  <c r="E170" i="13"/>
  <c r="F169" i="13"/>
  <c r="F168" i="13"/>
  <c r="F167" i="13"/>
  <c r="K166" i="13"/>
  <c r="J166" i="13"/>
  <c r="I166" i="13"/>
  <c r="H166" i="13"/>
  <c r="G166" i="13"/>
  <c r="E166" i="13"/>
  <c r="F165" i="13"/>
  <c r="F164" i="13"/>
  <c r="F163" i="13"/>
  <c r="K162" i="13"/>
  <c r="J162" i="13"/>
  <c r="I162" i="13"/>
  <c r="H162" i="13"/>
  <c r="G162" i="13"/>
  <c r="E162" i="13"/>
  <c r="F161" i="13"/>
  <c r="F160" i="13"/>
  <c r="F159" i="13"/>
  <c r="K158" i="13"/>
  <c r="J158" i="13"/>
  <c r="I158" i="13"/>
  <c r="H158" i="13"/>
  <c r="G158" i="13"/>
  <c r="E158" i="13"/>
  <c r="G77" i="13"/>
  <c r="E186" i="13"/>
  <c r="F188" i="13"/>
  <c r="F189" i="13"/>
  <c r="E190" i="13"/>
  <c r="G190" i="13"/>
  <c r="H190" i="13"/>
  <c r="I190" i="13"/>
  <c r="J190" i="13"/>
  <c r="K190" i="13"/>
  <c r="F191" i="13"/>
  <c r="F192" i="13"/>
  <c r="F193" i="13"/>
  <c r="E194" i="13"/>
  <c r="G194" i="13"/>
  <c r="H194" i="13"/>
  <c r="I194" i="13"/>
  <c r="J194" i="13"/>
  <c r="K194" i="13"/>
  <c r="F195" i="13"/>
  <c r="F196" i="13"/>
  <c r="F197" i="13"/>
  <c r="E198" i="13"/>
  <c r="G198" i="13"/>
  <c r="H198" i="13"/>
  <c r="I198" i="13"/>
  <c r="J198" i="13"/>
  <c r="K198" i="13"/>
  <c r="F199" i="13"/>
  <c r="F200" i="13"/>
  <c r="F201" i="13"/>
  <c r="F80" i="13"/>
  <c r="F79" i="13"/>
  <c r="F78" i="13"/>
  <c r="K77" i="13"/>
  <c r="J77" i="13"/>
  <c r="I77" i="13"/>
  <c r="H77" i="13"/>
  <c r="E77" i="13"/>
  <c r="F76" i="13"/>
  <c r="F75" i="13"/>
  <c r="F74" i="13"/>
  <c r="K73" i="13"/>
  <c r="J73" i="13"/>
  <c r="I73" i="13"/>
  <c r="H73" i="13"/>
  <c r="G73" i="13"/>
  <c r="E73" i="13"/>
  <c r="F72" i="13"/>
  <c r="F71" i="13"/>
  <c r="G69" i="13"/>
  <c r="K69" i="13"/>
  <c r="J69" i="13"/>
  <c r="I69" i="13"/>
  <c r="H69" i="13"/>
  <c r="E69" i="13"/>
  <c r="F68" i="13"/>
  <c r="F67" i="13"/>
  <c r="F66" i="13"/>
  <c r="K65" i="13"/>
  <c r="J65" i="13"/>
  <c r="I65" i="13"/>
  <c r="H65" i="13"/>
  <c r="E65" i="13"/>
  <c r="F64" i="13"/>
  <c r="F63" i="13"/>
  <c r="F62" i="13"/>
  <c r="K61" i="13"/>
  <c r="J61" i="13"/>
  <c r="I61" i="13"/>
  <c r="H61" i="13"/>
  <c r="G61" i="13"/>
  <c r="E61" i="13"/>
  <c r="F60" i="13"/>
  <c r="F59" i="13"/>
  <c r="G57" i="13"/>
  <c r="F58" i="13"/>
  <c r="K57" i="13"/>
  <c r="J57" i="13"/>
  <c r="I57" i="13"/>
  <c r="H57" i="13"/>
  <c r="E57" i="13"/>
  <c r="F275" i="13" l="1"/>
  <c r="F77" i="13"/>
  <c r="F251" i="13"/>
  <c r="F259" i="13"/>
  <c r="F279" i="13"/>
  <c r="F162" i="13"/>
  <c r="F170" i="13"/>
  <c r="F178" i="13"/>
  <c r="F247" i="13"/>
  <c r="F263" i="13"/>
  <c r="F267" i="13"/>
  <c r="F194" i="13"/>
  <c r="F255" i="13"/>
  <c r="F271" i="13"/>
  <c r="F198" i="13"/>
  <c r="F166" i="13"/>
  <c r="F57" i="13"/>
  <c r="F158" i="13"/>
  <c r="F174" i="13"/>
  <c r="F190" i="13"/>
  <c r="F65" i="13"/>
  <c r="F61" i="13"/>
  <c r="F73" i="13"/>
  <c r="F70" i="13"/>
  <c r="F69" i="13" s="1"/>
  <c r="G65" i="13"/>
  <c r="E577" i="12"/>
  <c r="E576" i="12"/>
  <c r="E575" i="12"/>
  <c r="E574" i="12"/>
  <c r="E573" i="12"/>
  <c r="E571" i="12"/>
  <c r="E570" i="12"/>
  <c r="E569" i="12"/>
  <c r="E568" i="12"/>
  <c r="E567" i="12"/>
  <c r="E546" i="12"/>
  <c r="E545" i="12"/>
  <c r="E544" i="12"/>
  <c r="E543" i="12"/>
  <c r="E542" i="12"/>
  <c r="E540" i="12"/>
  <c r="E539" i="12"/>
  <c r="E538" i="12"/>
  <c r="E537" i="12"/>
  <c r="E536" i="12"/>
  <c r="H444" i="13"/>
  <c r="J444" i="13"/>
  <c r="G443" i="13"/>
  <c r="G471" i="13" s="1"/>
  <c r="H443" i="13"/>
  <c r="H471" i="13" s="1"/>
  <c r="I443" i="13"/>
  <c r="I471" i="13" s="1"/>
  <c r="J443" i="13"/>
  <c r="J471" i="13" s="1"/>
  <c r="K443" i="13"/>
  <c r="K471" i="13" s="1"/>
  <c r="G442" i="13"/>
  <c r="G470" i="13" s="1"/>
  <c r="H442" i="13"/>
  <c r="H470" i="13" s="1"/>
  <c r="I442" i="13"/>
  <c r="I470" i="13" s="1"/>
  <c r="J442" i="13"/>
  <c r="J470" i="13" s="1"/>
  <c r="K442" i="13"/>
  <c r="K470" i="13" s="1"/>
  <c r="K448" i="13"/>
  <c r="I448" i="13" s="1"/>
  <c r="I444" i="13" s="1"/>
  <c r="F447" i="13"/>
  <c r="F443" i="13" s="1"/>
  <c r="F446" i="13"/>
  <c r="F442" i="13" s="1"/>
  <c r="J445" i="13"/>
  <c r="H445" i="13"/>
  <c r="E445" i="13"/>
  <c r="K428" i="13"/>
  <c r="F427" i="13"/>
  <c r="F426" i="13"/>
  <c r="J425" i="13"/>
  <c r="H425" i="13"/>
  <c r="E425" i="13"/>
  <c r="I428" i="13" l="1"/>
  <c r="H441" i="13"/>
  <c r="K421" i="13"/>
  <c r="G421" i="13"/>
  <c r="F441" i="13"/>
  <c r="K441" i="13"/>
  <c r="G441" i="13"/>
  <c r="I421" i="13"/>
  <c r="J421" i="13"/>
  <c r="J441" i="13"/>
  <c r="I441" i="13"/>
  <c r="H421" i="13"/>
  <c r="K444" i="13"/>
  <c r="E572" i="12"/>
  <c r="E541" i="12"/>
  <c r="F421" i="13"/>
  <c r="E566" i="12"/>
  <c r="E535" i="12"/>
  <c r="K425" i="13"/>
  <c r="G448" i="13"/>
  <c r="G444" i="13" s="1"/>
  <c r="I445" i="13"/>
  <c r="K445" i="13"/>
  <c r="I425" i="13"/>
  <c r="G428" i="13" l="1"/>
  <c r="F448" i="13"/>
  <c r="F444" i="13" s="1"/>
  <c r="G445" i="13"/>
  <c r="K14" i="2"/>
  <c r="F428" i="13" l="1"/>
  <c r="G425" i="13"/>
  <c r="F445" i="13"/>
  <c r="H34" i="13"/>
  <c r="G46" i="13"/>
  <c r="F425" i="13" l="1"/>
  <c r="E740" i="12"/>
  <c r="E739" i="12"/>
  <c r="E738" i="12"/>
  <c r="E737" i="12"/>
  <c r="E736" i="12"/>
  <c r="E698" i="12"/>
  <c r="E697" i="12"/>
  <c r="E696" i="12"/>
  <c r="E695" i="12"/>
  <c r="E729" i="12" l="1"/>
  <c r="E735" i="12"/>
  <c r="E420" i="12" l="1"/>
  <c r="E419" i="12"/>
  <c r="E418" i="12"/>
  <c r="E417" i="12"/>
  <c r="E402" i="12"/>
  <c r="E401" i="12"/>
  <c r="E400" i="12"/>
  <c r="E399" i="12"/>
  <c r="E398" i="12"/>
  <c r="E396" i="12"/>
  <c r="E395" i="12"/>
  <c r="E394" i="12"/>
  <c r="E393" i="12"/>
  <c r="E392" i="12"/>
  <c r="E390" i="12"/>
  <c r="E389" i="12"/>
  <c r="E388" i="12"/>
  <c r="E387" i="12"/>
  <c r="E386" i="12"/>
  <c r="E384" i="12"/>
  <c r="E383" i="12"/>
  <c r="E382" i="12"/>
  <c r="E381" i="12"/>
  <c r="E380" i="12"/>
  <c r="E378" i="12"/>
  <c r="E377" i="12"/>
  <c r="E376" i="12"/>
  <c r="E375" i="12"/>
  <c r="E374" i="12"/>
  <c r="E311" i="12"/>
  <c r="E310" i="12"/>
  <c r="E309" i="12"/>
  <c r="E308" i="12"/>
  <c r="E307" i="12"/>
  <c r="E305" i="12"/>
  <c r="E304" i="12"/>
  <c r="E303" i="12"/>
  <c r="E302" i="12"/>
  <c r="E299" i="12"/>
  <c r="E298" i="12"/>
  <c r="E297" i="12"/>
  <c r="E296" i="12"/>
  <c r="E295" i="12"/>
  <c r="E287" i="12"/>
  <c r="E286" i="12"/>
  <c r="E285" i="12"/>
  <c r="E284" i="12"/>
  <c r="E283" i="12"/>
  <c r="E281" i="12"/>
  <c r="E280" i="12"/>
  <c r="E279" i="12"/>
  <c r="E278" i="12"/>
  <c r="E277" i="12"/>
  <c r="E312" i="12" l="1"/>
  <c r="E306" i="12"/>
  <c r="E300" i="12"/>
  <c r="E294" i="12"/>
  <c r="E282" i="12"/>
  <c r="E273" i="12"/>
  <c r="E272" i="12"/>
  <c r="E271" i="12"/>
  <c r="E270" i="12"/>
  <c r="E269" i="12"/>
  <c r="E263" i="12"/>
  <c r="E261" i="12"/>
  <c r="E260" i="12"/>
  <c r="E259" i="12"/>
  <c r="E258" i="12"/>
  <c r="E257" i="12"/>
  <c r="E255" i="12"/>
  <c r="E254" i="12"/>
  <c r="E253" i="12"/>
  <c r="E252" i="12"/>
  <c r="E251" i="12"/>
  <c r="E249" i="12"/>
  <c r="E248" i="12"/>
  <c r="E247" i="12"/>
  <c r="E246" i="12"/>
  <c r="E245" i="12"/>
  <c r="E243" i="12"/>
  <c r="E242" i="12"/>
  <c r="E241" i="12"/>
  <c r="E240" i="12"/>
  <c r="E239" i="12"/>
  <c r="E182" i="12"/>
  <c r="E181" i="12"/>
  <c r="E180" i="12"/>
  <c r="E179" i="12"/>
  <c r="E178" i="12"/>
  <c r="E176" i="12"/>
  <c r="E175" i="12"/>
  <c r="E174" i="12"/>
  <c r="E173" i="12"/>
  <c r="E170" i="12"/>
  <c r="E169" i="12"/>
  <c r="E168" i="12"/>
  <c r="E167" i="12"/>
  <c r="E166" i="12"/>
  <c r="E158" i="12"/>
  <c r="E157" i="12"/>
  <c r="E156" i="12"/>
  <c r="E155" i="12"/>
  <c r="E154" i="12"/>
  <c r="E152" i="12"/>
  <c r="E151" i="12"/>
  <c r="E150" i="12"/>
  <c r="E149" i="12"/>
  <c r="E148" i="12"/>
  <c r="E47" i="12"/>
  <c r="E46" i="12"/>
  <c r="E45" i="12"/>
  <c r="E44" i="12"/>
  <c r="E41" i="12"/>
  <c r="E40" i="12"/>
  <c r="E39" i="12"/>
  <c r="E38" i="12"/>
  <c r="E35" i="12"/>
  <c r="E34" i="12"/>
  <c r="E33" i="12"/>
  <c r="E23" i="12"/>
  <c r="E22" i="12"/>
  <c r="E21" i="12"/>
  <c r="E20" i="12"/>
  <c r="E19" i="12"/>
  <c r="E17" i="12"/>
  <c r="E16" i="12"/>
  <c r="E15" i="12"/>
  <c r="E14" i="12"/>
  <c r="E12" i="12" l="1"/>
  <c r="E268" i="12"/>
  <c r="E171" i="12"/>
  <c r="E177" i="12"/>
  <c r="E153" i="12"/>
  <c r="E165" i="12"/>
  <c r="E18" i="12"/>
  <c r="C39" i="10"/>
  <c r="D39" i="10"/>
  <c r="E39" i="10"/>
  <c r="F39" i="10"/>
  <c r="G39" i="10"/>
  <c r="B38" i="10"/>
  <c r="B37" i="10"/>
  <c r="B39" i="10" l="1"/>
  <c r="E416" i="12"/>
  <c r="F228" i="13"/>
  <c r="G102" i="13"/>
  <c r="G90" i="13"/>
  <c r="E43" i="12"/>
  <c r="E42" i="12" s="1"/>
  <c r="E37" i="12"/>
  <c r="E36" i="12" s="1"/>
  <c r="E31" i="12"/>
  <c r="G86" i="13" l="1"/>
  <c r="E92" i="12"/>
  <c r="E694" i="12"/>
  <c r="E693" i="12" s="1"/>
  <c r="G34" i="13"/>
  <c r="E32" i="12"/>
  <c r="E30" i="12" s="1"/>
  <c r="F213" i="13" l="1"/>
  <c r="F212" i="13"/>
  <c r="F211" i="13"/>
  <c r="K210" i="13"/>
  <c r="J210" i="13"/>
  <c r="I210" i="13"/>
  <c r="H210" i="13"/>
  <c r="G210" i="13"/>
  <c r="E210" i="13"/>
  <c r="F210" i="13" l="1"/>
  <c r="F574" i="13"/>
  <c r="F573" i="13"/>
  <c r="F572" i="13"/>
  <c r="K571" i="13"/>
  <c r="J571" i="13"/>
  <c r="I571" i="13"/>
  <c r="H571" i="13"/>
  <c r="G571" i="13"/>
  <c r="E571" i="13"/>
  <c r="F571" i="13" l="1"/>
  <c r="F570" i="13"/>
  <c r="F569" i="13"/>
  <c r="F568" i="13"/>
  <c r="K567" i="13"/>
  <c r="J567" i="13"/>
  <c r="I567" i="13"/>
  <c r="H567" i="13"/>
  <c r="G567" i="13"/>
  <c r="E567" i="13"/>
  <c r="F546" i="13"/>
  <c r="F542" i="13" s="1"/>
  <c r="F545" i="13"/>
  <c r="F544" i="13"/>
  <c r="K543" i="13"/>
  <c r="J543" i="13"/>
  <c r="I543" i="13"/>
  <c r="H543" i="13"/>
  <c r="G543" i="13"/>
  <c r="E543" i="13"/>
  <c r="F246" i="13"/>
  <c r="F245" i="13"/>
  <c r="F244" i="13"/>
  <c r="K243" i="13"/>
  <c r="J243" i="13"/>
  <c r="I243" i="13"/>
  <c r="H243" i="13"/>
  <c r="G243" i="13"/>
  <c r="E243" i="13"/>
  <c r="F157" i="13"/>
  <c r="F156" i="13"/>
  <c r="F155" i="13"/>
  <c r="K154" i="13"/>
  <c r="J154" i="13"/>
  <c r="I154" i="13"/>
  <c r="H154" i="13"/>
  <c r="G154" i="13"/>
  <c r="E154" i="13"/>
  <c r="F540" i="13" l="1"/>
  <c r="F541" i="13"/>
  <c r="F243" i="13"/>
  <c r="F567" i="13"/>
  <c r="F154" i="13"/>
  <c r="F543" i="13"/>
  <c r="F56" i="13"/>
  <c r="F55" i="13"/>
  <c r="K53" i="13"/>
  <c r="J53" i="13"/>
  <c r="I53" i="13"/>
  <c r="H53" i="13"/>
  <c r="G53" i="13"/>
  <c r="E53" i="13"/>
  <c r="F53" i="13" l="1"/>
  <c r="G290" i="13"/>
  <c r="H290" i="13"/>
  <c r="I290" i="13"/>
  <c r="J290" i="13"/>
  <c r="K290" i="13"/>
  <c r="E290" i="13"/>
  <c r="G289" i="13"/>
  <c r="H289" i="13"/>
  <c r="I289" i="13"/>
  <c r="J289" i="13"/>
  <c r="K289" i="13"/>
  <c r="E289" i="13"/>
  <c r="F326" i="13"/>
  <c r="F322" i="13" s="1"/>
  <c r="F325" i="13"/>
  <c r="F321" i="13" s="1"/>
  <c r="F324" i="13"/>
  <c r="F320" i="13" s="1"/>
  <c r="K323" i="13"/>
  <c r="J323" i="13"/>
  <c r="I323" i="13"/>
  <c r="H323" i="13"/>
  <c r="G323" i="13"/>
  <c r="E323" i="13"/>
  <c r="F242" i="13"/>
  <c r="F241" i="13"/>
  <c r="F240" i="13"/>
  <c r="K239" i="13"/>
  <c r="J239" i="13"/>
  <c r="I239" i="13"/>
  <c r="H239" i="13"/>
  <c r="G239" i="13"/>
  <c r="E239" i="13"/>
  <c r="F238" i="13"/>
  <c r="F237" i="13"/>
  <c r="F236" i="13"/>
  <c r="K235" i="13"/>
  <c r="J235" i="13"/>
  <c r="I235" i="13"/>
  <c r="H235" i="13"/>
  <c r="G235" i="13"/>
  <c r="E235" i="13"/>
  <c r="F234" i="13"/>
  <c r="F233" i="13"/>
  <c r="F232" i="13"/>
  <c r="K231" i="13"/>
  <c r="J231" i="13"/>
  <c r="I231" i="13"/>
  <c r="H231" i="13"/>
  <c r="G231" i="13"/>
  <c r="E231" i="13"/>
  <c r="F230" i="13"/>
  <c r="F229" i="13"/>
  <c r="K227" i="13"/>
  <c r="J227" i="13"/>
  <c r="I227" i="13"/>
  <c r="H227" i="13"/>
  <c r="G227" i="13"/>
  <c r="E227" i="13"/>
  <c r="F225" i="13" l="1"/>
  <c r="F224" i="13"/>
  <c r="F226" i="13"/>
  <c r="G221" i="13"/>
  <c r="G329" i="13" s="1"/>
  <c r="I222" i="13"/>
  <c r="I330" i="13" s="1"/>
  <c r="E221" i="13"/>
  <c r="E329" i="13" s="1"/>
  <c r="H221" i="13"/>
  <c r="H329" i="13" s="1"/>
  <c r="K221" i="13"/>
  <c r="K329" i="13" s="1"/>
  <c r="I220" i="13"/>
  <c r="I328" i="13" s="1"/>
  <c r="H220" i="13"/>
  <c r="H328" i="13" s="1"/>
  <c r="J221" i="13"/>
  <c r="J329" i="13" s="1"/>
  <c r="E222" i="13"/>
  <c r="E330" i="13" s="1"/>
  <c r="H222" i="13"/>
  <c r="H330" i="13" s="1"/>
  <c r="K220" i="13"/>
  <c r="K328" i="13" s="1"/>
  <c r="G220" i="13"/>
  <c r="G328" i="13" s="1"/>
  <c r="I221" i="13"/>
  <c r="I329" i="13" s="1"/>
  <c r="K222" i="13"/>
  <c r="K330" i="13" s="1"/>
  <c r="G222" i="13"/>
  <c r="G330" i="13" s="1"/>
  <c r="J222" i="13"/>
  <c r="J330" i="13" s="1"/>
  <c r="J220" i="13"/>
  <c r="J328" i="13" s="1"/>
  <c r="E220" i="13"/>
  <c r="E328" i="13" s="1"/>
  <c r="I287" i="13"/>
  <c r="F231" i="13"/>
  <c r="F235" i="13"/>
  <c r="H287" i="13"/>
  <c r="K287" i="13"/>
  <c r="G287" i="13"/>
  <c r="J287" i="13"/>
  <c r="F227" i="13"/>
  <c r="F239" i="13"/>
  <c r="F323" i="13"/>
  <c r="G133" i="13"/>
  <c r="G217" i="13" s="1"/>
  <c r="H133" i="13"/>
  <c r="H217" i="13" s="1"/>
  <c r="I133" i="13"/>
  <c r="I217" i="13" s="1"/>
  <c r="E133" i="13"/>
  <c r="H132" i="13"/>
  <c r="H216" i="13" s="1"/>
  <c r="K132" i="13"/>
  <c r="K216" i="13" s="1"/>
  <c r="E132" i="13"/>
  <c r="J133" i="13"/>
  <c r="J217" i="13" s="1"/>
  <c r="K133" i="13"/>
  <c r="K217" i="13" s="1"/>
  <c r="E217" i="13"/>
  <c r="I132" i="13" l="1"/>
  <c r="I216" i="13" s="1"/>
  <c r="G132" i="13"/>
  <c r="G216" i="13" s="1"/>
  <c r="J132" i="13"/>
  <c r="J216" i="13" s="1"/>
  <c r="F209" i="13"/>
  <c r="F208" i="13"/>
  <c r="F207" i="13"/>
  <c r="K206" i="13"/>
  <c r="J206" i="13"/>
  <c r="I206" i="13"/>
  <c r="H206" i="13"/>
  <c r="G206" i="13"/>
  <c r="E206" i="13"/>
  <c r="F205" i="13"/>
  <c r="F204" i="13"/>
  <c r="F203" i="13"/>
  <c r="K202" i="13"/>
  <c r="J202" i="13"/>
  <c r="I202" i="13"/>
  <c r="H202" i="13"/>
  <c r="G202" i="13"/>
  <c r="E202" i="13"/>
  <c r="F153" i="13"/>
  <c r="F152" i="13"/>
  <c r="F151" i="13"/>
  <c r="K150" i="13"/>
  <c r="J150" i="13"/>
  <c r="I150" i="13"/>
  <c r="H150" i="13"/>
  <c r="G150" i="13"/>
  <c r="E150" i="13"/>
  <c r="F149" i="13"/>
  <c r="F148" i="13"/>
  <c r="F147" i="13"/>
  <c r="K146" i="13"/>
  <c r="J146" i="13"/>
  <c r="I146" i="13"/>
  <c r="H146" i="13"/>
  <c r="G146" i="13"/>
  <c r="E146" i="13"/>
  <c r="F145" i="13"/>
  <c r="F144" i="13"/>
  <c r="F143" i="13"/>
  <c r="K142" i="13"/>
  <c r="J142" i="13"/>
  <c r="I142" i="13"/>
  <c r="H142" i="13"/>
  <c r="G142" i="13"/>
  <c r="E142" i="13"/>
  <c r="E32" i="13"/>
  <c r="E31" i="13"/>
  <c r="G31" i="13"/>
  <c r="H31" i="13"/>
  <c r="H127" i="13" s="1"/>
  <c r="I31" i="13"/>
  <c r="J31" i="13"/>
  <c r="K31" i="13"/>
  <c r="G32" i="13"/>
  <c r="H32" i="13"/>
  <c r="I32" i="13"/>
  <c r="J32" i="13"/>
  <c r="K32" i="13"/>
  <c r="G30" i="13"/>
  <c r="G126" i="13" s="1"/>
  <c r="H30" i="13"/>
  <c r="I30" i="13"/>
  <c r="I126" i="13" s="1"/>
  <c r="J30" i="13"/>
  <c r="J126" i="13" s="1"/>
  <c r="K30" i="13"/>
  <c r="K126" i="13" s="1"/>
  <c r="F44" i="13"/>
  <c r="F43" i="13"/>
  <c r="F42" i="13"/>
  <c r="K41" i="13"/>
  <c r="J41" i="13"/>
  <c r="I41" i="13"/>
  <c r="H41" i="13"/>
  <c r="G41" i="13"/>
  <c r="E41" i="13"/>
  <c r="K85" i="13"/>
  <c r="J85" i="13"/>
  <c r="I85" i="13"/>
  <c r="H85" i="13"/>
  <c r="G85" i="13"/>
  <c r="F52" i="13"/>
  <c r="F51" i="13"/>
  <c r="F50" i="13"/>
  <c r="K49" i="13"/>
  <c r="J49" i="13"/>
  <c r="I49" i="13"/>
  <c r="H49" i="13"/>
  <c r="G49" i="13"/>
  <c r="E49" i="13"/>
  <c r="F48" i="13"/>
  <c r="F47" i="13"/>
  <c r="F46" i="13"/>
  <c r="K45" i="13"/>
  <c r="J45" i="13"/>
  <c r="I45" i="13"/>
  <c r="H45" i="13"/>
  <c r="G45" i="13"/>
  <c r="E45" i="13"/>
  <c r="F187" i="13" l="1"/>
  <c r="E85" i="13"/>
  <c r="E30" i="13"/>
  <c r="E29" i="13" s="1"/>
  <c r="F49" i="13"/>
  <c r="F206" i="13"/>
  <c r="F202" i="13"/>
  <c r="F41" i="13"/>
  <c r="F142" i="13"/>
  <c r="E33" i="13"/>
  <c r="F150" i="13"/>
  <c r="F146" i="13"/>
  <c r="F45" i="13"/>
  <c r="K16" i="21"/>
  <c r="K17" i="21"/>
  <c r="K15" i="21"/>
  <c r="K13" i="21" l="1"/>
  <c r="J13" i="21"/>
  <c r="I13" i="21"/>
  <c r="H13" i="21"/>
  <c r="G13" i="21"/>
  <c r="F13" i="21"/>
  <c r="K16" i="8" l="1"/>
  <c r="K17" i="8"/>
  <c r="K15" i="8"/>
  <c r="K16" i="19"/>
  <c r="K17" i="19"/>
  <c r="K15" i="19"/>
  <c r="K16" i="5"/>
  <c r="K17" i="5"/>
  <c r="K15" i="5"/>
  <c r="K16" i="4"/>
  <c r="K17" i="4"/>
  <c r="K15" i="4"/>
  <c r="K15" i="2"/>
  <c r="K16" i="2"/>
  <c r="F13" i="2"/>
  <c r="K15" i="3"/>
  <c r="K16" i="3"/>
  <c r="K17" i="3"/>
  <c r="G13" i="3"/>
  <c r="H13" i="3"/>
  <c r="I13" i="3"/>
  <c r="J13" i="3"/>
  <c r="F13" i="3"/>
  <c r="K13" i="3" l="1"/>
  <c r="H472" i="13" l="1"/>
  <c r="H469" i="13" s="1"/>
  <c r="J472" i="13"/>
  <c r="J469" i="13" s="1"/>
  <c r="F416" i="13"/>
  <c r="F412" i="13" s="1"/>
  <c r="F415" i="13"/>
  <c r="F411" i="13" s="1"/>
  <c r="F471" i="13" s="1"/>
  <c r="F414" i="13"/>
  <c r="K413" i="13"/>
  <c r="J413" i="13"/>
  <c r="I413" i="13"/>
  <c r="H413" i="13"/>
  <c r="G413" i="13"/>
  <c r="E413" i="13"/>
  <c r="F410" i="13" l="1"/>
  <c r="F470" i="13" s="1"/>
  <c r="J409" i="13"/>
  <c r="H409" i="13"/>
  <c r="K409" i="13"/>
  <c r="I409" i="13"/>
  <c r="G409" i="13"/>
  <c r="E470" i="13"/>
  <c r="F413" i="13"/>
  <c r="F409" i="13" l="1"/>
  <c r="E471" i="13"/>
  <c r="K472" i="13"/>
  <c r="K469" i="13" s="1"/>
  <c r="I472" i="13"/>
  <c r="I469" i="13" s="1"/>
  <c r="G472" i="13" l="1"/>
  <c r="G469" i="13" s="1"/>
  <c r="E267" i="12" l="1"/>
  <c r="E266" i="12"/>
  <c r="E265" i="12"/>
  <c r="E264" i="12"/>
  <c r="E120" i="12"/>
  <c r="E119" i="12"/>
  <c r="E118" i="12"/>
  <c r="E117" i="12"/>
  <c r="E116" i="12"/>
  <c r="E110" i="12"/>
  <c r="E114" i="12"/>
  <c r="E113" i="12"/>
  <c r="E112" i="12"/>
  <c r="E111" i="12"/>
  <c r="E108" i="12"/>
  <c r="E107" i="12"/>
  <c r="E106" i="12"/>
  <c r="E105" i="12"/>
  <c r="E104" i="12"/>
  <c r="E102" i="12"/>
  <c r="E101" i="12"/>
  <c r="E100" i="12"/>
  <c r="E99" i="12"/>
  <c r="E98" i="12"/>
  <c r="E96" i="12"/>
  <c r="E95" i="12"/>
  <c r="E94" i="12"/>
  <c r="E93" i="12"/>
  <c r="F472" i="13" l="1"/>
  <c r="F469" i="13" s="1"/>
  <c r="E472" i="13"/>
  <c r="E469" i="13" s="1"/>
  <c r="E409" i="13"/>
  <c r="E415" i="12"/>
  <c r="E109" i="12"/>
  <c r="E276" i="12"/>
  <c r="E379" i="12"/>
  <c r="E391" i="12"/>
  <c r="E385" i="12"/>
  <c r="E256" i="12"/>
  <c r="E244" i="12"/>
  <c r="E238" i="12"/>
  <c r="E115" i="12"/>
  <c r="E103" i="12"/>
  <c r="E97" i="12"/>
  <c r="E91" i="12"/>
  <c r="G586" i="13"/>
  <c r="H586" i="13"/>
  <c r="I586" i="13"/>
  <c r="J586" i="13"/>
  <c r="K586" i="13"/>
  <c r="G585" i="13"/>
  <c r="H585" i="13"/>
  <c r="I585" i="13"/>
  <c r="J585" i="13"/>
  <c r="K585" i="13"/>
  <c r="H584" i="13"/>
  <c r="I584" i="13"/>
  <c r="K584" i="13"/>
  <c r="H583" i="13" l="1"/>
  <c r="K583" i="13"/>
  <c r="I583" i="13"/>
  <c r="E441" i="13"/>
  <c r="E421" i="13"/>
  <c r="J539" i="13"/>
  <c r="G539" i="13"/>
  <c r="J584" i="13"/>
  <c r="J583" i="13" s="1"/>
  <c r="I539" i="13"/>
  <c r="K539" i="13"/>
  <c r="H539" i="13"/>
  <c r="G584" i="13"/>
  <c r="G583" i="13" s="1"/>
  <c r="E586" i="13"/>
  <c r="E585" i="13"/>
  <c r="F586" i="13" l="1"/>
  <c r="E373" i="12"/>
  <c r="E539" i="13"/>
  <c r="E584" i="13"/>
  <c r="E583" i="13" s="1"/>
  <c r="F584" i="13"/>
  <c r="F539" i="13" l="1"/>
  <c r="F585" i="13"/>
  <c r="F583" i="13" s="1"/>
  <c r="F310" i="13" l="1"/>
  <c r="F309" i="13"/>
  <c r="F308" i="13"/>
  <c r="K307" i="13"/>
  <c r="J307" i="13"/>
  <c r="I307" i="13"/>
  <c r="H307" i="13"/>
  <c r="G307" i="13"/>
  <c r="F306" i="13"/>
  <c r="F305" i="13"/>
  <c r="F304" i="13"/>
  <c r="K303" i="13"/>
  <c r="J303" i="13"/>
  <c r="I303" i="13"/>
  <c r="H303" i="13"/>
  <c r="G303" i="13"/>
  <c r="F302" i="13"/>
  <c r="F301" i="13"/>
  <c r="F300" i="13"/>
  <c r="K299" i="13"/>
  <c r="J299" i="13"/>
  <c r="I299" i="13"/>
  <c r="H299" i="13"/>
  <c r="G299" i="13"/>
  <c r="F298" i="13"/>
  <c r="F297" i="13"/>
  <c r="F296" i="13"/>
  <c r="K295" i="13"/>
  <c r="J295" i="13"/>
  <c r="I295" i="13"/>
  <c r="H295" i="13"/>
  <c r="G295" i="13"/>
  <c r="F294" i="13"/>
  <c r="F293" i="13"/>
  <c r="F292" i="13"/>
  <c r="K291" i="13"/>
  <c r="J291" i="13"/>
  <c r="I291" i="13"/>
  <c r="H291" i="13"/>
  <c r="G291" i="13"/>
  <c r="F141" i="13"/>
  <c r="F140" i="13"/>
  <c r="F136" i="13" s="1"/>
  <c r="F139" i="13"/>
  <c r="F135" i="13" s="1"/>
  <c r="F131" i="13" s="1"/>
  <c r="K138" i="13"/>
  <c r="J138" i="13"/>
  <c r="I138" i="13"/>
  <c r="H138" i="13"/>
  <c r="G138" i="13"/>
  <c r="F108" i="13"/>
  <c r="F107" i="13"/>
  <c r="F106" i="13"/>
  <c r="K105" i="13"/>
  <c r="J105" i="13"/>
  <c r="I105" i="13"/>
  <c r="H105" i="13"/>
  <c r="G105" i="13"/>
  <c r="F104" i="13"/>
  <c r="F103" i="13"/>
  <c r="F102" i="13"/>
  <c r="K101" i="13"/>
  <c r="J101" i="13"/>
  <c r="I101" i="13"/>
  <c r="H101" i="13"/>
  <c r="G101" i="13"/>
  <c r="F100" i="13"/>
  <c r="F99" i="13"/>
  <c r="F98" i="13"/>
  <c r="K97" i="13"/>
  <c r="J97" i="13"/>
  <c r="I97" i="13"/>
  <c r="H97" i="13"/>
  <c r="G97" i="13"/>
  <c r="F96" i="13"/>
  <c r="F95" i="13"/>
  <c r="F94" i="13"/>
  <c r="K93" i="13"/>
  <c r="J93" i="13"/>
  <c r="I93" i="13"/>
  <c r="H93" i="13"/>
  <c r="G93" i="13"/>
  <c r="F92" i="13"/>
  <c r="F88" i="13" s="1"/>
  <c r="F91" i="13"/>
  <c r="F87" i="13" s="1"/>
  <c r="F90" i="13"/>
  <c r="K89" i="13"/>
  <c r="J89" i="13"/>
  <c r="I89" i="13"/>
  <c r="H89" i="13"/>
  <c r="G89" i="13"/>
  <c r="F40" i="13"/>
  <c r="F39" i="13"/>
  <c r="F35" i="13" s="1"/>
  <c r="F34" i="13"/>
  <c r="K37" i="13"/>
  <c r="J37" i="13"/>
  <c r="I37" i="13"/>
  <c r="H37" i="13"/>
  <c r="G37" i="13"/>
  <c r="I15" i="13"/>
  <c r="I27" i="13" s="1"/>
  <c r="G14" i="13"/>
  <c r="G26" i="13" s="1"/>
  <c r="H14" i="13"/>
  <c r="H26" i="13" s="1"/>
  <c r="I14" i="13"/>
  <c r="I26" i="13" s="1"/>
  <c r="J14" i="13"/>
  <c r="J26" i="13" s="1"/>
  <c r="K14" i="13"/>
  <c r="K26" i="13" s="1"/>
  <c r="G13" i="13"/>
  <c r="G25" i="13" s="1"/>
  <c r="H13" i="13"/>
  <c r="H25" i="13" s="1"/>
  <c r="I13" i="13"/>
  <c r="J13" i="13"/>
  <c r="J25" i="13" s="1"/>
  <c r="K13" i="13"/>
  <c r="K25" i="13" s="1"/>
  <c r="I16" i="13"/>
  <c r="F23" i="13"/>
  <c r="F22" i="13"/>
  <c r="F21" i="13"/>
  <c r="K20" i="13"/>
  <c r="J20" i="13"/>
  <c r="I20" i="13"/>
  <c r="H20" i="13"/>
  <c r="G20" i="13"/>
  <c r="F86" i="13" l="1"/>
  <c r="F30" i="13" s="1"/>
  <c r="F126" i="13" s="1"/>
  <c r="F290" i="13"/>
  <c r="F222" i="13" s="1"/>
  <c r="F330" i="13" s="1"/>
  <c r="F288" i="13"/>
  <c r="F220" i="13" s="1"/>
  <c r="F289" i="13"/>
  <c r="F221" i="13" s="1"/>
  <c r="F329" i="13" s="1"/>
  <c r="F215" i="13"/>
  <c r="F132" i="13"/>
  <c r="F216" i="13" s="1"/>
  <c r="F137" i="13"/>
  <c r="F133" i="13" s="1"/>
  <c r="F217" i="13" s="1"/>
  <c r="F31" i="13"/>
  <c r="F127" i="13" s="1"/>
  <c r="F36" i="13"/>
  <c r="F32" i="13" s="1"/>
  <c r="H126" i="13"/>
  <c r="I127" i="13"/>
  <c r="I589" i="13" s="1"/>
  <c r="H589" i="13"/>
  <c r="K127" i="13"/>
  <c r="K589" i="13" s="1"/>
  <c r="G127" i="13"/>
  <c r="G589" i="13" s="1"/>
  <c r="J127" i="13"/>
  <c r="J589" i="13" s="1"/>
  <c r="E287" i="13"/>
  <c r="E295" i="13"/>
  <c r="F299" i="13"/>
  <c r="E303" i="13"/>
  <c r="E307" i="13"/>
  <c r="I223" i="13"/>
  <c r="F291" i="13"/>
  <c r="K319" i="13"/>
  <c r="J223" i="13"/>
  <c r="E291" i="13"/>
  <c r="F295" i="13"/>
  <c r="K219" i="13"/>
  <c r="G219" i="13"/>
  <c r="K223" i="13"/>
  <c r="H223" i="13"/>
  <c r="F307" i="13"/>
  <c r="J319" i="13"/>
  <c r="I319" i="13"/>
  <c r="E397" i="12"/>
  <c r="J219" i="13"/>
  <c r="G223" i="13"/>
  <c r="G319" i="13"/>
  <c r="H319" i="13"/>
  <c r="G134" i="13"/>
  <c r="F93" i="13"/>
  <c r="E97" i="13"/>
  <c r="F101" i="13"/>
  <c r="E299" i="13"/>
  <c r="K134" i="13"/>
  <c r="F303" i="13"/>
  <c r="F37" i="13"/>
  <c r="H134" i="13"/>
  <c r="J134" i="13"/>
  <c r="F138" i="13"/>
  <c r="E93" i="13"/>
  <c r="I134" i="13"/>
  <c r="E89" i="13"/>
  <c r="E138" i="13"/>
  <c r="J33" i="13"/>
  <c r="J125" i="13" s="1"/>
  <c r="E101" i="13"/>
  <c r="F89" i="13"/>
  <c r="E127" i="13"/>
  <c r="I33" i="13"/>
  <c r="I125" i="13" s="1"/>
  <c r="E37" i="13"/>
  <c r="E128" i="13"/>
  <c r="E216" i="13" s="1"/>
  <c r="E214" i="13" s="1"/>
  <c r="F105" i="13"/>
  <c r="F97" i="13"/>
  <c r="E105" i="13"/>
  <c r="I24" i="13"/>
  <c r="K33" i="13"/>
  <c r="K125" i="13" s="1"/>
  <c r="G33" i="13"/>
  <c r="G125" i="13" s="1"/>
  <c r="H33" i="13"/>
  <c r="E20" i="13"/>
  <c r="I12" i="13"/>
  <c r="I25" i="13"/>
  <c r="F20" i="13"/>
  <c r="H125" i="13" l="1"/>
  <c r="F125" i="13" s="1"/>
  <c r="E125" i="13"/>
  <c r="F130" i="13"/>
  <c r="F214" i="13"/>
  <c r="F219" i="13"/>
  <c r="F328" i="13"/>
  <c r="F85" i="13"/>
  <c r="F287" i="13"/>
  <c r="K327" i="13"/>
  <c r="H29" i="13"/>
  <c r="G29" i="13"/>
  <c r="J29" i="13"/>
  <c r="I29" i="13"/>
  <c r="K29" i="13"/>
  <c r="E147" i="12"/>
  <c r="E262" i="12"/>
  <c r="F134" i="13"/>
  <c r="E223" i="13"/>
  <c r="E134" i="13"/>
  <c r="J327" i="13"/>
  <c r="E319" i="13"/>
  <c r="F319" i="13"/>
  <c r="I219" i="13"/>
  <c r="I327" i="13" s="1"/>
  <c r="G327" i="13"/>
  <c r="F223" i="13"/>
  <c r="H219" i="13"/>
  <c r="H327" i="13" s="1"/>
  <c r="F33" i="13"/>
  <c r="F29" i="13"/>
  <c r="F327" i="13" l="1"/>
  <c r="E219" i="13"/>
  <c r="E327" i="13" s="1"/>
  <c r="E126" i="13"/>
  <c r="F17" i="13" l="1"/>
  <c r="F13" i="13" s="1"/>
  <c r="F25" i="13" s="1"/>
  <c r="F588" i="13" s="1"/>
  <c r="F18" i="13"/>
  <c r="F14" i="13" s="1"/>
  <c r="F26" i="13" s="1"/>
  <c r="F589" i="13" s="1"/>
  <c r="E14" i="13"/>
  <c r="E26" i="13" s="1"/>
  <c r="E589" i="13" s="1"/>
  <c r="E13" i="13"/>
  <c r="E25" i="13" s="1"/>
  <c r="E588" i="13" s="1"/>
  <c r="G13" i="19" l="1"/>
  <c r="H13" i="19"/>
  <c r="I13" i="19"/>
  <c r="J13" i="19"/>
  <c r="K13" i="19"/>
  <c r="F13" i="19"/>
  <c r="G13" i="2" l="1"/>
  <c r="K13" i="8" l="1"/>
  <c r="G19" i="13" l="1"/>
  <c r="H19" i="13"/>
  <c r="J19" i="13"/>
  <c r="K19" i="13"/>
  <c r="H16" i="13" l="1"/>
  <c r="H24" i="13" s="1"/>
  <c r="H15" i="13"/>
  <c r="G16" i="13"/>
  <c r="G24" i="13" s="1"/>
  <c r="G15" i="13"/>
  <c r="K16" i="13"/>
  <c r="K24" i="13" s="1"/>
  <c r="K15" i="13"/>
  <c r="J16" i="13"/>
  <c r="J24" i="13" s="1"/>
  <c r="J15" i="13"/>
  <c r="F19" i="13"/>
  <c r="J12" i="13" l="1"/>
  <c r="J27" i="13"/>
  <c r="G12" i="13"/>
  <c r="G27" i="13"/>
  <c r="K12" i="13"/>
  <c r="K27" i="13"/>
  <c r="H12" i="13"/>
  <c r="H27" i="13"/>
  <c r="E16" i="13"/>
  <c r="E24" i="13" s="1"/>
  <c r="E15" i="13"/>
  <c r="F16" i="13"/>
  <c r="F24" i="13" s="1"/>
  <c r="F15" i="13"/>
  <c r="F12" i="13" l="1"/>
  <c r="F27" i="13"/>
  <c r="E12" i="13"/>
  <c r="E27" i="13"/>
  <c r="E590" i="13" s="1"/>
  <c r="H128" i="13" l="1"/>
  <c r="H590" i="13" s="1"/>
  <c r="K128" i="13"/>
  <c r="K590" i="13" s="1"/>
  <c r="J128" i="13"/>
  <c r="J590" i="13" s="1"/>
  <c r="F128" i="13"/>
  <c r="G128" i="13" l="1"/>
  <c r="G590" i="13" s="1"/>
  <c r="I128" i="13"/>
  <c r="I590" i="13" s="1"/>
  <c r="G13" i="8" l="1"/>
  <c r="H13" i="8"/>
  <c r="I13" i="8"/>
  <c r="J13" i="8"/>
  <c r="J13" i="5"/>
  <c r="I13" i="5"/>
  <c r="H13" i="5"/>
  <c r="G13" i="5"/>
  <c r="F13" i="5"/>
  <c r="J13" i="4"/>
  <c r="I13" i="4"/>
  <c r="H13" i="4"/>
  <c r="G13" i="4"/>
  <c r="F13" i="4"/>
  <c r="J13" i="2"/>
  <c r="H13" i="2"/>
  <c r="K13" i="2" l="1"/>
  <c r="K13" i="5"/>
  <c r="K13" i="4"/>
  <c r="E130" i="13" l="1"/>
  <c r="E587" i="13" s="1"/>
  <c r="E250" i="12" l="1"/>
  <c r="G186" i="13" l="1"/>
  <c r="J186" i="13"/>
  <c r="F186" i="13"/>
  <c r="H186" i="13"/>
  <c r="K186" i="13"/>
  <c r="K131" i="13"/>
  <c r="K130" i="13" s="1"/>
  <c r="I186" i="13"/>
  <c r="J131" i="13"/>
  <c r="J130" i="13" s="1"/>
  <c r="G131" i="13"/>
  <c r="G130" i="13" s="1"/>
  <c r="I131" i="13"/>
  <c r="I130" i="13" s="1"/>
  <c r="H131" i="13"/>
  <c r="H215" i="13" s="1"/>
  <c r="H588" i="13" s="1"/>
  <c r="H587" i="13" l="1"/>
  <c r="J215" i="13"/>
  <c r="J591" i="13" s="1"/>
  <c r="I215" i="13"/>
  <c r="I588" i="13" s="1"/>
  <c r="I587" i="13" s="1"/>
  <c r="H130" i="13"/>
  <c r="H214" i="13"/>
  <c r="H591" i="13"/>
  <c r="F591" i="13"/>
  <c r="G215" i="13"/>
  <c r="G588" i="13" s="1"/>
  <c r="G587" i="13" s="1"/>
  <c r="K215" i="13"/>
  <c r="K588" i="13" s="1"/>
  <c r="K587" i="13" s="1"/>
  <c r="J214" i="13" l="1"/>
  <c r="J588" i="13"/>
  <c r="J587" i="13" s="1"/>
  <c r="I214" i="13"/>
  <c r="I591" i="13"/>
  <c r="G591" i="13"/>
  <c r="G214" i="13"/>
  <c r="K214" i="13"/>
  <c r="K591" i="13"/>
  <c r="F407" i="13"/>
  <c r="F404" i="13" s="1"/>
  <c r="F590" i="13" l="1"/>
  <c r="F587" i="13" s="1"/>
</calcChain>
</file>

<file path=xl/sharedStrings.xml><?xml version="1.0" encoding="utf-8"?>
<sst xmlns="http://schemas.openxmlformats.org/spreadsheetml/2006/main" count="3434" uniqueCount="646">
  <si>
    <t>N п/п</t>
  </si>
  <si>
    <t>Единица измерения</t>
  </si>
  <si>
    <t>1.</t>
  </si>
  <si>
    <t>Процент</t>
  </si>
  <si>
    <t>Единиц</t>
  </si>
  <si>
    <t>2018 год</t>
  </si>
  <si>
    <t>2019 год</t>
  </si>
  <si>
    <t>Приложение № 2</t>
  </si>
  <si>
    <t>ПАСПОРТ ПОДПРОГРАММЫ I</t>
  </si>
  <si>
    <t xml:space="preserve">Муниципальный заказчик подпрограммы       </t>
  </si>
  <si>
    <t xml:space="preserve">Расходы (тыс. рублей)                                   </t>
  </si>
  <si>
    <t>Итого</t>
  </si>
  <si>
    <t xml:space="preserve">Всего:        </t>
  </si>
  <si>
    <t xml:space="preserve">в том числе:  </t>
  </si>
  <si>
    <t>Средства бюджета Московской области</t>
  </si>
  <si>
    <t>Средства Федерального бюджета</t>
  </si>
  <si>
    <t xml:space="preserve">Главный распорядитель бюджетных средств     </t>
  </si>
  <si>
    <t>Источник финансирования</t>
  </si>
  <si>
    <t>Источники  финансирования    подпрограммы по  годам реализации и  главным распорядителям   бюджетных средств, в том числе по годам:</t>
  </si>
  <si>
    <t>Приложение № 3</t>
  </si>
  <si>
    <t>ПАСПОРТ ПОДПРОГРАММЫ II</t>
  </si>
  <si>
    <t>Приложение № 4</t>
  </si>
  <si>
    <t>ПАСПОРТ ПОДПРОГРАММЫ III</t>
  </si>
  <si>
    <t>Приложение № 5</t>
  </si>
  <si>
    <t>ПАСПОРТ ПОДПРОГРАММЫ IV</t>
  </si>
  <si>
    <t>Приложение № 6</t>
  </si>
  <si>
    <t>ПАСПОРТ ПОДПРОГРАММЫ V</t>
  </si>
  <si>
    <t>Приложение № 7</t>
  </si>
  <si>
    <t>ПАСПОРТ ПОДПРОГРАММЫ VI</t>
  </si>
  <si>
    <t>Приложение № 8</t>
  </si>
  <si>
    <t>«Обеспечивающая подпрограмма»</t>
  </si>
  <si>
    <t>ПАСПОРТ ПОДПРОГРАММЫ VII</t>
  </si>
  <si>
    <t>Приложение № 9</t>
  </si>
  <si>
    <t xml:space="preserve">  </t>
  </si>
  <si>
    <t>ПАСПОРТ МУНИЦИПАЛЬНОЙ ПРОГРАММЫ</t>
  </si>
  <si>
    <t>Координатор муниципальной программы</t>
  </si>
  <si>
    <t>Муниципальный заказчик муниципальной программы</t>
  </si>
  <si>
    <t>Цель муниципальной программы</t>
  </si>
  <si>
    <t>Перечень подпрограмм</t>
  </si>
  <si>
    <t>Расходы (тыс. рублей)</t>
  </si>
  <si>
    <t>Всего</t>
  </si>
  <si>
    <t>Приложение № 10</t>
  </si>
  <si>
    <t>ОБОСНОВАНИЯ ФИНАНСОВЫХ РЕСУРСОВ, НЕОБХОДИМЫХ ДЛЯ РЕАЛИЗАЦИИ МЕРОПРИЯТИЙ ПОДПРОГРАММ</t>
  </si>
  <si>
    <t>Эксплуатационные расходы, возникающие в результате реализации мероприятия</t>
  </si>
  <si>
    <t>Комплектование книжного фонда</t>
  </si>
  <si>
    <t>Организация гастролей</t>
  </si>
  <si>
    <t xml:space="preserve">Наименование   мероприятия    
подпрограммы
</t>
  </si>
  <si>
    <t xml:space="preserve">Общий объем финансовых  
ресурсов, необходимых   
для реализации мероприятия, в том числе по годам
</t>
  </si>
  <si>
    <t>Приложение № 11</t>
  </si>
  <si>
    <t xml:space="preserve">Итого         </t>
  </si>
  <si>
    <t>Комитет по культуре</t>
  </si>
  <si>
    <t xml:space="preserve">Средства Федерального бюджета </t>
  </si>
  <si>
    <t>Итого по подпрограмме:</t>
  </si>
  <si>
    <t>Итого:</t>
  </si>
  <si>
    <t xml:space="preserve"> Итого по подпрограмме:</t>
  </si>
  <si>
    <t xml:space="preserve">Средства Федерального Бюджета </t>
  </si>
  <si>
    <t>Оформление охранных обязательств, зон охраны объекта культурного наследия</t>
  </si>
  <si>
    <t xml:space="preserve">Источники     
финансирования
</t>
  </si>
  <si>
    <t xml:space="preserve">Всего 
(тыс. 
руб.) 
</t>
  </si>
  <si>
    <t xml:space="preserve">Ответственный
за выполнение
мероприятия  
программы (подпрограммы) 
</t>
  </si>
  <si>
    <t xml:space="preserve">Результаты  
выполнения  
мероприятий  программы
(подпрограммы)
</t>
  </si>
  <si>
    <t xml:space="preserve">N  П/П </t>
  </si>
  <si>
    <t>1.1.1</t>
  </si>
  <si>
    <t>1.6</t>
  </si>
  <si>
    <t>1.1.2</t>
  </si>
  <si>
    <t xml:space="preserve">Средства  бюджета Московской области    </t>
  </si>
  <si>
    <t>1.2</t>
  </si>
  <si>
    <t>2.1</t>
  </si>
  <si>
    <t>2.2</t>
  </si>
  <si>
    <t>2.3</t>
  </si>
  <si>
    <t>1.2.1</t>
  </si>
  <si>
    <t>1.1</t>
  </si>
  <si>
    <t xml:space="preserve">Средства     бюджета Московской области </t>
  </si>
  <si>
    <t>Предельная стоимость объекта, тыс. руб.</t>
  </si>
  <si>
    <t>Источники финансирования</t>
  </si>
  <si>
    <t>Финансирование, тыс. рублей</t>
  </si>
  <si>
    <t>Остаток сметной стоимости до ввода в эксплуатацию, тыс. руб.</t>
  </si>
  <si>
    <t>Всего:</t>
  </si>
  <si>
    <t>1</t>
  </si>
  <si>
    <t>Приложение № 13</t>
  </si>
  <si>
    <t>Наименование муниципального образования/Адрес объекта (Наименование объекта)</t>
  </si>
  <si>
    <t>Финансирование, в том числе распределение межбюджетных трансфертов из бюджета Московской области, тыс. рублей</t>
  </si>
  <si>
    <t>МЕТОДИКА РАСЧЕТА ЗНАЧЕНИЙ ПОКАЗАТЕЛЕЙ</t>
  </si>
  <si>
    <t xml:space="preserve"> п/п</t>
  </si>
  <si>
    <t>Наименование показателей</t>
  </si>
  <si>
    <t>Определение</t>
  </si>
  <si>
    <t>Значения базовых показателей</t>
  </si>
  <si>
    <t xml:space="preserve">процент </t>
  </si>
  <si>
    <t xml:space="preserve">Доб = Окр / Окн х 100%, где:
Доб - 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собственности;
Окр - объекты культурного наследия, находящиеся в муниципальной собственности и требующие консервации или реставрации;
Окн - общее количество объектов культурного наследия, находящихся в муниципальной собственности
</t>
  </si>
  <si>
    <t xml:space="preserve">             Н + Ш
Дн  =   X 100%
               Чср
Дн - доля населения, участвующего в коллективах народного творчества и школах искусств (процентов);
Н - численность участников в клубных формированиях учреждений культурно-досугового типа (из формы 7-НК (свод), строка 01, гр.35, данные оперативного мониторинга);
Ш - количество учащихся в школах искусств (форма 1-ДМШ, форма 1-ДО (для школ искусств, подведомственных органам управления образованием), данные оперативного мониторинга);
Чср - среднегодовая численность населения в муниципальном образовании (данные Мособлстата).
</t>
  </si>
  <si>
    <t xml:space="preserve">2019 год </t>
  </si>
  <si>
    <t xml:space="preserve">Всего </t>
  </si>
  <si>
    <t>Источники финансирования муниципальной программы</t>
  </si>
  <si>
    <t xml:space="preserve">Всего, в том числе:        </t>
  </si>
  <si>
    <t xml:space="preserve">«Развитие культуры Рузского городского округа» </t>
  </si>
  <si>
    <t>на 2018-2022 годы»</t>
  </si>
  <si>
    <t>«РАЗВИТИЕ КУЛЬТУРЫ РУЗСКОГО ГОРОДСКОГО ОКРУГА</t>
  </si>
  <si>
    <t>НА 2018-2022 г.г.»</t>
  </si>
  <si>
    <t>Муниципальное казенное учреждение Рузского городского округа «Комитет по культуре»</t>
  </si>
  <si>
    <t>Подпрограмма I «Сохранение, использование, популяризация объектов культурного наследия, находящихся в собственности Рузского городского округа»</t>
  </si>
  <si>
    <t>Подпрограмма II «Развитие музейного дела и народных художественных промыслов в Рузском городском округе»</t>
  </si>
  <si>
    <t>Подпрограмма III «Развитие библиотечного дела в Рузском городском округе»</t>
  </si>
  <si>
    <t>Подпрограмма IV «Развитие самодеятельного творчества и поддержка основных форм культурно-досуговой деятельности в  Рузском городском округе»</t>
  </si>
  <si>
    <t>Подпрограмма VI  «Укрепление материально-технической базы  муниципальных учреждений культуры  Рузского городского округа»</t>
  </si>
  <si>
    <t>2020 год</t>
  </si>
  <si>
    <t>2021 год</t>
  </si>
  <si>
    <t>2022 год</t>
  </si>
  <si>
    <t>Доля населения, участвующего в коллективах народного творчества и школах искусств*</t>
  </si>
  <si>
    <t xml:space="preserve">Единица   измерения     </t>
  </si>
  <si>
    <t>Базовое значение показателя (на начало реализации подпрограммы)</t>
  </si>
  <si>
    <t>Планируемое значение показателя по годам реализации</t>
  </si>
  <si>
    <t>процент</t>
  </si>
  <si>
    <t>«РАЗВИТИЕ КУЛЬТУРЫ РУЗСКОГО ГОРОДСКОГО ОКРУГА НА  2018-2022 гг.»</t>
  </si>
  <si>
    <t>Подпрограмма II «Развитие музейного дела и народных художественных промыслов в собственности Рузского городского округа»</t>
  </si>
  <si>
    <t>Подпрограмма III «Развитие библиотечного дела в Рузского городского округе»</t>
  </si>
  <si>
    <t>Подпрограмма IV «Развитие самодеятельного творчества и поддержка основных форм культурно-досуговой деятельности в Рузского городского округе»</t>
  </si>
  <si>
    <t>Подпрограмма VI  «Укрепление материально-технической базы  муниципальных учреждений культуры Рузского городского округа»</t>
  </si>
  <si>
    <t xml:space="preserve"> «Сохранение, использование, популяризация объектов культурного наследия, находящихся в собственности Рузского городского округа»</t>
  </si>
  <si>
    <t>МКУ РГО «Комитет по культуре»</t>
  </si>
  <si>
    <t xml:space="preserve">Средства бюджета Рузского Городского округа  </t>
  </si>
  <si>
    <t>На срок с 2018-2022гг.</t>
  </si>
  <si>
    <t xml:space="preserve">Средства бюджета Рузского городского округа   </t>
  </si>
  <si>
    <t>Увеличение доли объектов культурного наследия, находящихся на территории Рузского городского округа, по которым проведены работы по сохранению, использованию, популяризации муниципальной охране, в общем количестве объектов культурного наследия, нуждающихся в указанных работах</t>
  </si>
  <si>
    <t xml:space="preserve">Обеспечение роста числа посетителей библиотек </t>
  </si>
  <si>
    <t xml:space="preserve">2022 год       </t>
  </si>
  <si>
    <t>Средства бюджета Рузского Городского округа</t>
  </si>
  <si>
    <t>Увеличение количества посетителей концертных мероприятий</t>
  </si>
  <si>
    <t xml:space="preserve">Средства бюджета Рузского городского округа  </t>
  </si>
  <si>
    <t xml:space="preserve"> «Укрепление материально-технической базы  муниципальных учреждений культуры Рузского городского округа»</t>
  </si>
  <si>
    <t xml:space="preserve">Средства бюджета Рузского городского округа     </t>
  </si>
  <si>
    <t xml:space="preserve">Средства бюджета Рузского городского округа    </t>
  </si>
  <si>
    <t xml:space="preserve"> «РАЗВИТИЕ КУЛЬТУРЫ РУЗСКОГО ГОРОДСКОГО ОКРУГА НА 2018-2022 ГГ.»</t>
  </si>
  <si>
    <t>Средства бюджета Рузского городского округа</t>
  </si>
  <si>
    <t>Средства бюджета  Московской области</t>
  </si>
  <si>
    <t>2018-2022г</t>
  </si>
  <si>
    <t xml:space="preserve">2020 год </t>
  </si>
  <si>
    <t xml:space="preserve">Сроки       
исполнения 
мероприятия
</t>
  </si>
  <si>
    <t>Объем финансирования по годам ( тыс. руб.)</t>
  </si>
  <si>
    <t>Средства      бюджета Рузского городского округа</t>
  </si>
  <si>
    <t>Средства  бюджета Рузского городского округа</t>
  </si>
  <si>
    <t>1.3</t>
  </si>
  <si>
    <t>1.4</t>
  </si>
  <si>
    <t>1.5</t>
  </si>
  <si>
    <t>1.7</t>
  </si>
  <si>
    <t>1.8</t>
  </si>
  <si>
    <t xml:space="preserve">Средства     бюджета Рузского городского округа </t>
  </si>
  <si>
    <t xml:space="preserve">Средства бюджета Московской области     </t>
  </si>
  <si>
    <t xml:space="preserve"> Увеличение общего количества посетителей муниципальных музеев</t>
  </si>
  <si>
    <t>Организация культурно-досуговой работы  в Рузском городском округе</t>
  </si>
  <si>
    <t>Модернизация материально-технической базы объектов культуры путем строительства, реконструкции, проведения капитального ремонта, технического переоснащения муниципальных учреждений сферы культуры современным непроизводственным оборудованием</t>
  </si>
  <si>
    <t xml:space="preserve"> Подпрограмма VIII «Обеспечивающая подпрограмма»</t>
  </si>
  <si>
    <t>Обеспечение эффективного выполнения полномочий  в  Рузском городском округе</t>
  </si>
  <si>
    <t xml:space="preserve">2021 год </t>
  </si>
  <si>
    <t xml:space="preserve">2022 год </t>
  </si>
  <si>
    <t>Объем бюджетных ассигнований определяется на основании проектно-сметной документации</t>
  </si>
  <si>
    <t>Средства Рузского городского округа</t>
  </si>
  <si>
    <t>Количество объектов культурного наследия, находящихся в собственности Московской области, на которых установлены информационные надписи   и обозначения в текущем году</t>
  </si>
  <si>
    <t>Статистические источники</t>
  </si>
  <si>
    <t xml:space="preserve">Реестр информационных надписей   и обозначений на объектах культурного наследия, находящихся в собственности Московской области </t>
  </si>
  <si>
    <t>Количество посетителей в отчетном году в тыс. чел.</t>
  </si>
  <si>
    <t>Отчет музея</t>
  </si>
  <si>
    <t>Тыс. человек</t>
  </si>
  <si>
    <t xml:space="preserve">Формы -НК и 1-ДМШ, 1ДО- годовые, внутриведомственная отчетность учреждений культуры </t>
  </si>
  <si>
    <t>Ск = Зк /Дмо х 100%,
где:
Ск - соотношение средней заработной платы работников муниципальных учреждений культуры Московской области к средней заработной плате в Московской области;
Зк - средняя заработная плата работников муниципальных учреждений культуры;
Дмо – среднемесячный доход от трудовой деятельности Московской области</t>
  </si>
  <si>
    <t>Форма федерального статистического наблюдения № ЗП-культура  «Сведения о численности и оплате труда работников сферы культуры по категориям персонала», утвержденная приказом Росстата от 30.11.2015 № 594 «Об утверждении статистического инструментария для проведения федерального статистического наблюдения в сфере оплаты труда отдельных категорий работников социальной сферы и науки, в отношении которых предусмотрены мероприятия по повышению средней заработной платы в соответствии с Указом Президента Российской Федерации от 07.05.2012 № 597»</t>
  </si>
  <si>
    <t xml:space="preserve"> Обеспечение выполнения функций муниципальных музеев  </t>
  </si>
  <si>
    <t xml:space="preserve">Организация библиотечного обслуживания населения муниципальными библиотеками </t>
  </si>
  <si>
    <t>Всего, в том числе по годам:</t>
  </si>
  <si>
    <t>Обеспечение выполнения функций муниципальных домов культуры, центров искусств</t>
  </si>
  <si>
    <t>Реконструкция муниципального бюджетного учреждения культуры "Военно-исторический музей "Музей Зои Космодемьянской", Рузский городской округ (в том числе проектно-изыскательские работы)</t>
  </si>
  <si>
    <t>ВСЕГО ПО ПРОГРАММЕ:</t>
  </si>
  <si>
    <t>«Развитие культуры Рузского городского округа» на 2018 – 2022 г.г.»</t>
  </si>
  <si>
    <t xml:space="preserve"> «Развитие культуры Рузского городского округа» на 2018 – 2022 г.г.»</t>
  </si>
  <si>
    <r>
      <t xml:space="preserve"> «Развитие культуры Рузского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городского округа» на 2018 – 2022 г.г.»</t>
    </r>
  </si>
  <si>
    <t xml:space="preserve">Прирост количества выставочных проектов относительно уровня 2012 года </t>
  </si>
  <si>
    <t xml:space="preserve">Увп% = ВПо / ВПп  х 100%,
где:
Увп% - количество выставочных проектов по отношению к 2012 году;
ВПо – количество выставочных проектов в отчетном году;
ВПп -  количество выставочных проектов в 2012 году . </t>
  </si>
  <si>
    <t>Повышение качества жизни населения Рузского округа путем развития услуг в сфере культуры</t>
  </si>
  <si>
    <t>ПЛАНИРУЕМЫЕ РЕЗУЛЬТАТЫ РЕАЛИЗАЦИИ МУНИЦИПАЛЬНОЙ ПРОГРАММЫ РУЗСКОГО ГОРОДСКОГО ОКРУГА</t>
  </si>
  <si>
    <t xml:space="preserve"> к муниципальной программе Рузского городского округа </t>
  </si>
  <si>
    <t xml:space="preserve"> к муниципальной программе Рузского городского округа  </t>
  </si>
  <si>
    <t xml:space="preserve"> к муниципальной программе Рузского городского округа</t>
  </si>
  <si>
    <t>ПЕРЕЧЕНЬ МЕРОПРИЯТИЙ МУНИЦИПАЛЬНОЙ ПРОГРАММЫ РУЗСКОГО ГОРОДСКОГО ОКРУГА</t>
  </si>
  <si>
    <t>Муниципальной программы «Развитие культуры Рузского городского округа на 2018-2022гг.»</t>
  </si>
  <si>
    <t>«Развитие музейного дела и народных художественных промыслов в Рузском городском округе»</t>
  </si>
  <si>
    <t>«Развитие самодеятельного творчества и поддержка основных форм культурно-досуговой деятельности в Рузском городском округе»</t>
  </si>
  <si>
    <t>«Развитие библиотечного дела в Рузском городском округе»</t>
  </si>
  <si>
    <r>
      <t>Подпрограмма III «Развитие библиотечного дела в Рузско</t>
    </r>
    <r>
      <rPr>
        <b/>
        <sz val="10"/>
        <rFont val="Times New Roman"/>
        <family val="1"/>
        <charset val="204"/>
      </rPr>
      <t>м</t>
    </r>
    <r>
      <rPr>
        <b/>
        <sz val="10"/>
        <color theme="1"/>
        <rFont val="Times New Roman"/>
        <family val="1"/>
        <charset val="204"/>
      </rPr>
      <t xml:space="preserve"> городском округе»</t>
    </r>
  </si>
  <si>
    <r>
      <t>Подпрограмма IV «Развитие самодеятельного творчества и поддержка основных форм культурно-досуговой деятельности в Рузском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городском округе»</t>
    </r>
  </si>
  <si>
    <t>Подпрограмма II «Развитие музейного дела и народных художественных промыслов в Рузского городском округе»</t>
  </si>
  <si>
    <t>Подпрограмма IV «Развитие самодеятельного творчества и поддержка основных форм культурно-досуговой деятельности в Рузском городском округе»</t>
  </si>
  <si>
    <t>МУНИЦИПАЛЬНАЯ ПРОГРАММА РУЗСКОГО ГОРОДСКОГО ОКРУГА</t>
  </si>
  <si>
    <t>Подпрограмма V «Развитие парков культуры и отдыха в Рузском городском округе»</t>
  </si>
  <si>
    <t xml:space="preserve"> «Развитие парков культуры и отдыха в Рузском городском округе»</t>
  </si>
  <si>
    <t>Подпрограмма VII «Создание условий для развития туризма в  Рузском городском округе»</t>
  </si>
  <si>
    <t>Подпрограмма  VIII  «Обеспечивающая подпрограмма»</t>
  </si>
  <si>
    <t>№ п/п</t>
  </si>
  <si>
    <t>Планируемые результаты реализации муниципальной программы</t>
  </si>
  <si>
    <t>Тип показателя</t>
  </si>
  <si>
    <t>Номер основного мероприятия в перечне мероприятий программы (подпрограммы)</t>
  </si>
  <si>
    <t>Доля населения, участвующего в коллективах народного творчества и школах искусств</t>
  </si>
  <si>
    <t>Соответствие нормативу обеспеченности парками культуры и отдыха *</t>
  </si>
  <si>
    <t>* Приоритетные показатели</t>
  </si>
  <si>
    <t>Источники  финансирования    подпрограммы по  годам реализации и  главным распорядителям бюджетных средств, в том числе по годам:</t>
  </si>
  <si>
    <t xml:space="preserve"> «Подпрограмма VII «Создание условий для развития туризма в  Рузском городском округе»</t>
  </si>
  <si>
    <t>ПАСПОРТ ПОДПРОГРАММЫ VIII</t>
  </si>
  <si>
    <t>Приложение № 14</t>
  </si>
  <si>
    <t xml:space="preserve">Мероприятия 
программы
(подпрограммы)
</t>
  </si>
  <si>
    <t xml:space="preserve">Объем          
финансирования 
мероприятия в году, предшествующему году начала реализации программы
(тыс. руб.)*
</t>
  </si>
  <si>
    <t>Подпрограмма VIII «Обеспечивающая подпрограмма»</t>
  </si>
  <si>
    <t xml:space="preserve"> «Подпрограмма VII «Создание условий для развития туризма в Рузском городском округе»</t>
  </si>
  <si>
    <t xml:space="preserve"> 1.  Основное мероприятие</t>
  </si>
  <si>
    <t>1. Основное мероприятие</t>
  </si>
  <si>
    <t xml:space="preserve">2. Основное мероприятие  </t>
  </si>
  <si>
    <t xml:space="preserve"> 1. Основное мероприятие</t>
  </si>
  <si>
    <t xml:space="preserve"> 1. Основное мероприятие  </t>
  </si>
  <si>
    <t>1.1.3</t>
  </si>
  <si>
    <t>1.2.2</t>
  </si>
  <si>
    <t>Развитие парков культуры и отдыха</t>
  </si>
  <si>
    <t>2.4</t>
  </si>
  <si>
    <t>Средства бюджета  Рузского городского округа</t>
  </si>
  <si>
    <t>3.1</t>
  </si>
  <si>
    <t>3 Основное мероприятие</t>
  </si>
  <si>
    <t>2 Основное мероприятие</t>
  </si>
  <si>
    <t>1.2.3</t>
  </si>
  <si>
    <t>1.2.4</t>
  </si>
  <si>
    <t>1.2.5</t>
  </si>
  <si>
    <t>1.2.6</t>
  </si>
  <si>
    <t>Субсидии муниципальным учреждениям на иные цели</t>
  </si>
  <si>
    <t>Реставрация объектов культурного наследия, находящихся в собственности Рузского городского округа</t>
  </si>
  <si>
    <t>Подпрограммы VI «Укрепление материально-технической базы муниципальных учреждений культуры Рузского городского округа»</t>
  </si>
  <si>
    <t>Муниципальной программы  «Развитие культуры Рузского городского округа на 2018-2022гг.»</t>
  </si>
  <si>
    <t>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</si>
  <si>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строительства/реконструкции/муниципальной собственности</t>
  </si>
  <si>
    <t>Мощность/прирост мощности объекта (кв. метр, погонный метр, место, койко-место и т.д.)</t>
  </si>
  <si>
    <t>Профинансировано на 01.01._____ тыс. руб.</t>
  </si>
  <si>
    <t>Наименование главного распорядителя средств бюджета Московской области</t>
  </si>
  <si>
    <t>Всего по мероприятию</t>
  </si>
  <si>
    <t xml:space="preserve">Адресный перечень объектов капитального ремонта (ремонта) финансирование которых предусмотрено </t>
  </si>
  <si>
    <r>
      <t>Муниципальный заказчик</t>
    </r>
    <r>
      <rPr>
        <sz val="10"/>
        <color theme="1"/>
        <rFont val="Times New Roman"/>
        <family val="1"/>
        <charset val="204"/>
      </rPr>
      <t>:      Администрация Рузского городского округа</t>
    </r>
  </si>
  <si>
    <r>
      <t xml:space="preserve">Ответственный за выполнение мероприятия:     </t>
    </r>
    <r>
      <rPr>
        <sz val="10"/>
        <color theme="1"/>
        <rFont val="Times New Roman"/>
        <family val="1"/>
        <charset val="204"/>
      </rPr>
      <t>Администрация Рузского городского округа</t>
    </r>
  </si>
  <si>
    <t>Виды работ (капитальный ремонт/ ремонт, вид/тип объекта</t>
  </si>
  <si>
    <t>Объем выполняемых работ</t>
  </si>
  <si>
    <t>Период проведения работ</t>
  </si>
  <si>
    <r>
      <t>1395м</t>
    </r>
    <r>
      <rPr>
        <vertAlign val="superscript"/>
        <sz val="10"/>
        <color theme="1"/>
        <rFont val="Times New Roman"/>
        <family val="1"/>
        <charset val="204"/>
      </rPr>
      <t xml:space="preserve">2 </t>
    </r>
    <r>
      <rPr>
        <sz val="10"/>
        <color theme="1"/>
        <rFont val="Times New Roman"/>
        <family val="1"/>
        <charset val="204"/>
      </rPr>
      <t>/                200 мест</t>
    </r>
  </si>
  <si>
    <t xml:space="preserve">2018 год </t>
  </si>
  <si>
    <t>2</t>
  </si>
  <si>
    <t>Финансирование из Бюджета Рузского городского округа</t>
  </si>
  <si>
    <t>I.</t>
  </si>
  <si>
    <t>Финансирование с привлечением субсидий из бюджета Московской области</t>
  </si>
  <si>
    <t>II.</t>
  </si>
  <si>
    <t xml:space="preserve"> Подпрограмма VII «Создание условий для развития туризма в Рузском городском округе»</t>
  </si>
  <si>
    <t>Подпрограмма VII «Создание условий для развития туризма в Рузском городском округе»</t>
  </si>
  <si>
    <t>Отраслевой показатель</t>
  </si>
  <si>
    <t>Культура</t>
  </si>
  <si>
    <t>Администрация Рузского городского округа</t>
  </si>
  <si>
    <t>1.9</t>
  </si>
  <si>
    <t>Указ президента Российской Федерации</t>
  </si>
  <si>
    <t>Обращение Губернатора Московской области</t>
  </si>
  <si>
    <t>Модернизация материально-технической базы муниципальных  учреждений клубного типа путем строительства, реконструкции, проведения капитального ремонта, технического переоснащения современным непроизводственным оборудованием</t>
  </si>
  <si>
    <t xml:space="preserve">3. Основное мероприятие  </t>
  </si>
  <si>
    <t>Модернизация материально-технической базы муниципальных  музеева путем строительства, реконструкции, проведения капитального ремонта, технического переоснащения современным непроизводственным оборудованием</t>
  </si>
  <si>
    <t>2.1 Строительство дома культуры по адресу: Московская область, Рузский городской округ, д. Нестерово ( в том числе проектно-изыскательские работы)</t>
  </si>
  <si>
    <t>3.1  Реконструкция муниципального бюджетного учреждения культуры "Военно-исторический музей "Музей Зои Космодемьянской", Рузский городской округ (в том числе проектно-изыскательские работы)</t>
  </si>
  <si>
    <t>Но = Фо / Нп x 100, где                                                                                             где:                                                                                                                               Но - соответствие нормативу обеспеченности парками культуры и отдыха;                                                                                                                         Нп - нормативная                                                                                                   Фо - фактическая обеспеченность парками культуры и отдыхапотребность;</t>
  </si>
  <si>
    <t>Обращение Губернатора Московской области
приоритетный показатель</t>
  </si>
  <si>
    <t>Форма федерального статистического наблюдения № 8-НК «Сведения о деятельности музея», утвержденная приказом Федеральной службы государственной статистики от 07.12.2016 № 764 «Об утверждении статистического инструментария для организации Министерством культуры Российской Федерации федерального статистического наблюдения за деятельностью учреждений культуры»</t>
  </si>
  <si>
    <t>Обеспечение деятельности учреждений в части расходов на информационно-комуникационные технологии</t>
  </si>
  <si>
    <t>Подписка на периодические издания</t>
  </si>
  <si>
    <t>Услуги типографии</t>
  </si>
  <si>
    <t>Уборка снега</t>
  </si>
  <si>
    <t>Обеспечение деятельности учреждений в части приобретения материальных запасов</t>
  </si>
  <si>
    <t>Уборка прилегающей территории</t>
  </si>
  <si>
    <t>Сервисное обслуживание автомобиля</t>
  </si>
  <si>
    <t xml:space="preserve"> Реставрация одежды сцены</t>
  </si>
  <si>
    <t>Обеспечение деятельности учреждений в части расходов на информационно-коммуникационные технологии</t>
  </si>
  <si>
    <t>Обеспечение деятельности учреждений в части приобретения основных средств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</si>
  <si>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</si>
  <si>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</si>
  <si>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</si>
  <si>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</si>
  <si>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</si>
  <si>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</si>
  <si>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</si>
  <si>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</si>
  <si>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1.1.7 Подписка на периодические издания</t>
  </si>
  <si>
    <t>1.1.8 Услуги типографии</t>
  </si>
  <si>
    <t>1.1.9 Уборка снега</t>
  </si>
  <si>
    <t>1.1.10 Обеспечение деятельности учреждений в части приобретения материальных запасов</t>
  </si>
  <si>
    <t>1.1.11 Обеспечение деятельности учреждений в части приобретения основных средств</t>
  </si>
  <si>
    <t xml:space="preserve"> Обеспечение деятельности учреждений в части приобретения основных средств</t>
  </si>
  <si>
    <t>1.1.12</t>
  </si>
  <si>
    <t>1.1.13</t>
  </si>
  <si>
    <t>1.1.14</t>
  </si>
  <si>
    <t>1.1.8.  Уборка прилегающей территории</t>
  </si>
  <si>
    <t>Страхование автогражданской ответственности</t>
  </si>
  <si>
    <t>Подпрограмма VI  «Укрепление материально-технической базы муниципальных учреждений культуры Рузского городского округа»</t>
  </si>
  <si>
    <t>Обеспечение деятельности учреждений в части оплаты труда</t>
  </si>
  <si>
    <t>1.1.1 Обеспечение деятельности учреждений в части оплаты труда</t>
  </si>
  <si>
    <t xml:space="preserve"> 1.1.1.Обеспечение деятельности учреждений в части оплаты труда</t>
  </si>
  <si>
    <t>Обеспечение деятельности учреждений в части оплаты коммунальных услуг</t>
  </si>
  <si>
    <t>1.1.3 Обеспечение деятельности учреждений в части оплаты коммунальных услуг</t>
  </si>
  <si>
    <t xml:space="preserve">Обеспечение деятельности учреждений в части расходов на текущее содержание имущества </t>
  </si>
  <si>
    <t xml:space="preserve">Обеспечение деятельности учреждений в части расходов на текущее содержание имущества   </t>
  </si>
  <si>
    <t xml:space="preserve">Обеспечение деятельности учреждений в части расходов на текущее содержание имущества    </t>
  </si>
  <si>
    <t>1.1.4 Обеспечение деятельности учреждений в части расходов на текущее содержание имущества</t>
  </si>
  <si>
    <t>1.1.4  Обеспечение деятельности учреждений в части расходов на текущее содержание имущества</t>
  </si>
  <si>
    <t xml:space="preserve">1.1.4 Обеспечение деятельности учреждений в части расходов на текущее содержание имущества    </t>
  </si>
  <si>
    <t xml:space="preserve">Обеспечение деятельности учреждений в части уплаты налогов, сборов  </t>
  </si>
  <si>
    <t xml:space="preserve">1.1.5 Обеспечение деятельности учреждений в части уплаты налогов, сборов  </t>
  </si>
  <si>
    <t>1.1.11 Комплектование книжного фонда</t>
  </si>
  <si>
    <t>Мероприятия по противопожарной безопасности  и антитеррористической защищенности</t>
  </si>
  <si>
    <t xml:space="preserve">1.2.1 Мероприятия по противопожарной безопасности  и антитеррористической защищенности </t>
  </si>
  <si>
    <t xml:space="preserve">Мероприятия по противопожарной безопасности  и антитеррористической защищенности </t>
  </si>
  <si>
    <t xml:space="preserve">Подготовка к отопительному сезону </t>
  </si>
  <si>
    <t xml:space="preserve">Мероприятия по охране труда </t>
  </si>
  <si>
    <t>1.2.2 Подготовка к отопительному сезону</t>
  </si>
  <si>
    <t xml:space="preserve">1.2.3 Мероприятия по охране труда </t>
  </si>
  <si>
    <t xml:space="preserve">1.2.2 Подготовка к отопительному сезону </t>
  </si>
  <si>
    <t>1.2.5 Обеспечение деятельности учреждений в части приобретения основных средств</t>
  </si>
  <si>
    <t>Совокупность расходов на оплату труда 13 штатных ед.</t>
  </si>
  <si>
    <t>Приобретение ЭЦП для МСЭД и ЕАСУЗ</t>
  </si>
  <si>
    <t>Налог на имущество  - 500 руб*4 кв=2000 руб, Налог на экологию - 500 руб*4 кв= 2000 руб, Прочие платежи ( пени, оплата госпошлины) - 11000 на 12 месяцев.</t>
  </si>
  <si>
    <t>Софинансорование расходов на повышение заработной платы работникам муниципальных учреждений культуры</t>
  </si>
  <si>
    <t>1.1.2 Софинансорование расходов на повышение заработной платы работникам муниципальных учреждений культуры</t>
  </si>
  <si>
    <t>Снос строений в целях строительства дома культуры по адресу: МО, Рузский городской округ, д. Нестерово</t>
  </si>
  <si>
    <t>Вынос электрических сетей</t>
  </si>
  <si>
    <t>Зарплата бюджетников - отношение средней заработной платы работников  учреждений культуры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 *</t>
  </si>
  <si>
    <t>Зарплата бюджетников - отношение  средней заработной платы работников учреждений культуры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 *</t>
  </si>
  <si>
    <t>Обеспечение деятельности учреждений в части  приобретения основных средств</t>
  </si>
  <si>
    <t xml:space="preserve">Проведение  мероприятий </t>
  </si>
  <si>
    <t>Мониторинг туристских ресурсов и объектов индустрии</t>
  </si>
  <si>
    <t>Организация участия в Российских и международных туристических выставках, форумах (оплата взносов)</t>
  </si>
  <si>
    <t>Сопровождение информационного туристического сайта</t>
  </si>
  <si>
    <t xml:space="preserve">Размещение релизов в региональных и федеральных СМИ </t>
  </si>
  <si>
    <r>
      <rPr>
        <i/>
        <sz val="10"/>
        <color rgb="FF000000"/>
        <rFont val="Times New Roman"/>
        <family val="1"/>
        <charset val="204"/>
      </rPr>
      <t xml:space="preserve">Централизованная клубная система: </t>
    </r>
    <r>
      <rPr>
        <sz val="10"/>
        <color rgb="FF000000"/>
        <rFont val="Times New Roman"/>
        <family val="1"/>
        <charset val="204"/>
      </rPr>
      <t xml:space="preserve">         Повышение квалификации - 100 тыс. руб. ;                                        </t>
    </r>
    <r>
      <rPr>
        <i/>
        <sz val="10"/>
        <color rgb="FF000000"/>
        <rFont val="Times New Roman"/>
        <family val="1"/>
        <charset val="204"/>
      </rPr>
      <t/>
    </r>
  </si>
  <si>
    <t>Обеспечение деятельности учреждений в части уплаты налогов, сборов</t>
  </si>
  <si>
    <t>2.1 Организация гастролей</t>
  </si>
  <si>
    <t>1.1.11 Страхование автогражданской ответственности</t>
  </si>
  <si>
    <t>1.1.12 Сервисное обслуживание автомобиля</t>
  </si>
  <si>
    <t>1.1.13  Реставрация одежды сцены</t>
  </si>
  <si>
    <t>Проведение ремонтных работ зданий и сооружений</t>
  </si>
  <si>
    <t>2.2 Вынос электрических сетей</t>
  </si>
  <si>
    <t>2.3 Снос строений в целях строительства дома культуры по адресу: МО, Рузский городской округ, д. Нестерово</t>
  </si>
  <si>
    <t>1.1.</t>
  </si>
  <si>
    <t>1.2.</t>
  </si>
  <si>
    <t>1.1 Обеспечение деятельности учреждений в части оплаты труда</t>
  </si>
  <si>
    <t>1.2 Обеспечение деятельности учреждений в части уплаты налогов, сборов</t>
  </si>
  <si>
    <t>1.3 Обеспечение деятельности учреждений в части расходов на информационно-коммуникационные технологии</t>
  </si>
  <si>
    <t>1.5 Обеспечение деятельности учреждений в части приобретения материальных запасов</t>
  </si>
  <si>
    <t>1.6 Обеспечение деятельности учреждений в части приобретения основных средств</t>
  </si>
  <si>
    <t>Проведение мероприятий</t>
  </si>
  <si>
    <t>Обеспечение деятельности учреждений в части расходов на  информационно-коммуникационные технологии</t>
  </si>
  <si>
    <t>1.2.5. Обеспечение деятельности учреждений в части приобретения основных средств</t>
  </si>
  <si>
    <t xml:space="preserve">Адресный перечень объектов строительства (реконструкции) муниципальной собственности Рузского городского округа, финансирование которых предусмотрено мероприятиями </t>
  </si>
  <si>
    <t>ЭФФЕКТИВНОСТИ РЕАЛИЗАЦИИ ПРОГРАММЫ РУЗСКОГО ГОРОДСКОГО ОКРУГА «РАЗВИТИЕ КУЛЬТУРЫ РУЗСКОГО ГОРОДСКОГО ОКРУГА» НА 2018-2022 годы</t>
  </si>
  <si>
    <t xml:space="preserve">Обеспечение деятельности учреждений в части расходов на ИКТ </t>
  </si>
  <si>
    <t>Приобретение сувенирной продукции "Руза город исторический" и "Руза заповедная"</t>
  </si>
  <si>
    <t>2.5</t>
  </si>
  <si>
    <t>Издание информационных буклетов / флаеров «Туристские событийные мероприятия Рузского городского округа», в т.ч. баннеры, роллапы и др. полиграфическая продукция</t>
  </si>
  <si>
    <t xml:space="preserve">Мероприятием </t>
  </si>
  <si>
    <t>Информационное сопровождение туристской деятельности в регионе и на федеральном уровне (издание журнала "Руза Заповедная")</t>
  </si>
  <si>
    <t>1.1.6 Обеспечение деятельности учреждений в части расходов на информационно-коммуникационные технологии</t>
  </si>
  <si>
    <t>1.2.4 Обеспечение деятельности учреждений в части обучения и повышения квалификации</t>
  </si>
  <si>
    <t>Обеспечение деятельности учреждений в части обучения и повышения квалификации</t>
  </si>
  <si>
    <t>1.1.14 Проведение мероприятий</t>
  </si>
  <si>
    <t>1.7 Обеспечение деятельности учреждений в части обучения и повышения квалификации</t>
  </si>
  <si>
    <t xml:space="preserve">1.8 Проведение мероприятий </t>
  </si>
  <si>
    <t xml:space="preserve">Проведение мероприятий </t>
  </si>
  <si>
    <t>1.2.6 Обеспечение деятельности учреждений в части расходов на информационно-коммуникационные технологии</t>
  </si>
  <si>
    <t>Обеспечение деятельности учреждения в части обучения и повышения квалификации.</t>
  </si>
  <si>
    <t>Обеспечение деятельности учреждений в части расходов на текущее содержание имущества</t>
  </si>
  <si>
    <t>Доля библиотек, соответствующих единым Требованиям к условиям деятельности библиотек Московской области</t>
  </si>
  <si>
    <t>Ежеквартальные отчеты по количеству библиотек</t>
  </si>
  <si>
    <t>1.2 Обеспечение деятельности учреждений в части  приобретения основных средств</t>
  </si>
  <si>
    <t xml:space="preserve">1.3 Проведение  мероприятий </t>
  </si>
  <si>
    <t>1.4 Мониторинг туристских ресурсов и объектов туриндустрии</t>
  </si>
  <si>
    <t>1.5 Приобретение сувенирной продукции "Руза город исторический" и Руза заповедная"</t>
  </si>
  <si>
    <t xml:space="preserve">1.6 Обеспечение деятельности учреждений в части расходов на ИКТ </t>
  </si>
  <si>
    <t>2.1 Организация участия в Российских и международных туристических выставках, форумах (оплата взносов)</t>
  </si>
  <si>
    <t>2.2 Проведение информационного тура в Рузский городской округ</t>
  </si>
  <si>
    <t>2.3 Издание информационных буклетов / флаеров «Туристские событийные мероприятия Рузского городского округа», в т.ч. баннеры, роллапы и др. полиграфическая продукция</t>
  </si>
  <si>
    <t>2.4 Сопровождение информационного туристического сайта</t>
  </si>
  <si>
    <t>2.5 Информационное сопровождение туристской деятельности в регионе и на федеральном уровне (издание журнала "Руза Заповедная")</t>
  </si>
  <si>
    <t xml:space="preserve">3.1 Размещение релизов в региональных и федеральных СМИ </t>
  </si>
  <si>
    <t xml:space="preserve"> </t>
  </si>
  <si>
    <t>1.2.6. Обеспечение деятельности учреждений в части расходов на информационно-коммуникационные технологии</t>
  </si>
  <si>
    <t>УТВЕРЖДЕНА</t>
  </si>
  <si>
    <t>Постановлением администрации</t>
  </si>
  <si>
    <t>Рузского городского округа</t>
  </si>
  <si>
    <t>От ___________ № _______</t>
  </si>
  <si>
    <t>Реализация отдельных мероприятий муниципальных программ (подпрограмм) в сфере культуры</t>
  </si>
  <si>
    <t>1.1.12 Реализация отдельных мероприятий муниципальных программ (подпрограмм) в сфере культуры</t>
  </si>
  <si>
    <t>1.1.15</t>
  </si>
  <si>
    <t>1.1.15 Реализация отдельных мероприятий муниципальных программ (подпрограмм) в сфере культуры</t>
  </si>
  <si>
    <t xml:space="preserve"> Реализация отдельных мероприятий муниципальных программ (подпрограмм) в сфере культуры</t>
  </si>
  <si>
    <t>Парк культуры и отдыха Городок - Зарплата (28,4 тыс. руб) и налоги (8,6 тыс. руб.)</t>
  </si>
  <si>
    <t>1.9 Мероприятия по охране труда</t>
  </si>
  <si>
    <t>1.1 Проведение ремонтных работ зданий и сооружений</t>
  </si>
  <si>
    <t>1.2.7</t>
  </si>
  <si>
    <t>1.2.7 Обеспечение деятельности учреждений в части приобретения материальных запасов</t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</si>
  <si>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Услуги типографии - 0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</si>
  <si>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Уборка снега - 0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</si>
  <si>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клубная система:</t>
    </r>
    <r>
      <rPr>
        <sz val="10"/>
        <color rgb="FF000000"/>
        <rFont val="Times New Roman"/>
        <family val="1"/>
        <charset val="204"/>
      </rPr>
      <t xml:space="preserve">          Гастроли - 250 тыс. руб. ;                                        </t>
    </r>
    <r>
      <rPr>
        <i/>
        <sz val="10"/>
        <color rgb="FF000000"/>
        <rFont val="Times New Roman"/>
        <family val="1"/>
        <charset val="204"/>
      </rPr>
      <t/>
    </r>
  </si>
  <si>
    <r>
      <t xml:space="preserve">Централизованная клубная система:                     </t>
    </r>
    <r>
      <rPr>
        <sz val="10"/>
        <color rgb="FF000000"/>
        <rFont val="Times New Roman"/>
        <family val="1"/>
        <charset val="204"/>
      </rPr>
      <t xml:space="preserve">Уборка прилегающей территории- 200 тыс. руб.   </t>
    </r>
    <r>
      <rPr>
        <i/>
        <sz val="10"/>
        <color rgb="FF000000"/>
        <rFont val="Times New Roman"/>
        <family val="1"/>
        <charset val="204"/>
      </rPr>
      <t xml:space="preserve">МБУК РГО "ЦКиИ"  </t>
    </r>
    <r>
      <rPr>
        <sz val="10"/>
        <color rgb="FF000000"/>
        <rFont val="Times New Roman"/>
        <family val="1"/>
        <charset val="204"/>
      </rPr>
      <t xml:space="preserve">                                      </t>
    </r>
  </si>
  <si>
    <t xml:space="preserve">Дб=  КБстр/КБобщ *100                                                                                      Дб- доля библиотек, соответствующих единым Требованиям к условиям деятельности библиотек Московской области;                           КБобщ - общее количество блиотек в муниципальном образовании;     КБстр - количество библиотек в муниципальном образовании, соответствующих единым Требованиям к условиям деятельности библиотек                             </t>
  </si>
  <si>
    <t xml:space="preserve">Обеспечение деятельности учреждений в части приобретения материальных запасов </t>
  </si>
  <si>
    <t>1.4 Обеспечение деятельности учреждений в части расходов на текущее содержание имущества</t>
  </si>
  <si>
    <t>Увеличение доли объектов культурного наследия, находящихся в собственности муниципального образования, по которым проведены работы по сохранению, использованию, популяризации и государственной охране в общем количестве объектов культурного наследия, нуждающихся в указанных работах</t>
  </si>
  <si>
    <t>Количество выставочных проектов, в которых участвуют предприятия народных художественных промыслов</t>
  </si>
  <si>
    <t>Увеличение количества библиотек, внедривших стандарты деятельности библиотеки нового формата</t>
  </si>
  <si>
    <t>Доля муниципальных библиотек, соответствующих требованиям к условиям деятельности библиотек Московской области (стандарту)</t>
  </si>
  <si>
    <t xml:space="preserve">Соответствие нормативу обеспеченности парками культуры и отдыха </t>
  </si>
  <si>
    <t>7.1</t>
  </si>
  <si>
    <t>8.1</t>
  </si>
  <si>
    <t>3.2</t>
  </si>
  <si>
    <t>3.3</t>
  </si>
  <si>
    <t>5.1</t>
  </si>
  <si>
    <t>6.1</t>
  </si>
  <si>
    <t>4.1</t>
  </si>
  <si>
    <t>4.2</t>
  </si>
  <si>
    <t>1.2.8</t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</si>
  <si>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</t>
    </r>
    <r>
      <rPr>
        <sz val="9"/>
        <color rgb="FF000000"/>
        <rFont val="Times New Roman"/>
        <family val="1"/>
        <charset val="204"/>
      </rPr>
      <t xml:space="preserve">                  Повышение квалификации - 50 тыс. руб.;                                                                                                                         </t>
    </r>
    <r>
      <rPr>
        <i/>
        <sz val="9"/>
        <color rgb="FF000000"/>
        <rFont val="Times New Roman"/>
        <family val="1"/>
        <charset val="204"/>
      </rPr>
      <t/>
    </r>
  </si>
  <si>
    <t>1.2.7. Услуги типографии</t>
  </si>
  <si>
    <t>1.2.8. Реставрация одежды сцены</t>
  </si>
  <si>
    <t>6.2</t>
  </si>
  <si>
    <t xml:space="preserve">Обеспечение детских музыкальных школ и школ искусств необходимыми музыкальными инструментами (количество  оснащенных необходимыми музыкальными инструментами образовательных организаций сферы культуры)
</t>
  </si>
  <si>
    <t>-</t>
  </si>
  <si>
    <t>8.2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</si>
  <si>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</si>
  <si>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Заключение договоров технологического присоединения для дома культуры в д. Нестерово</t>
  </si>
  <si>
    <t>Выполнение работ по разработке проектно-сметной документации по проектированию волоконно-оптической линии связи для дома культуры в д. Нестерово</t>
  </si>
  <si>
    <t>Оценка технического состояния аттракционов</t>
  </si>
  <si>
    <t>2.4 Заключение договоров технологического присоединения для дома культуры в д. Нестерово</t>
  </si>
  <si>
    <t>Количество посещений музеев</t>
  </si>
  <si>
    <t>тыс. чел</t>
  </si>
  <si>
    <t>Указ президента Российской Федерации от 07.05.2018 №204</t>
  </si>
  <si>
    <t>4.3</t>
  </si>
  <si>
    <t>Увеличение числа посещений организаций культуры к уровню 2017 года, %  *</t>
  </si>
  <si>
    <t>Прирост участников клубных формирований</t>
  </si>
  <si>
    <t>4.4</t>
  </si>
  <si>
    <t>Количество участников клубных формирований</t>
  </si>
  <si>
    <t>тыс. чел.</t>
  </si>
  <si>
    <t>4.5</t>
  </si>
  <si>
    <t>Прирост посещений платных культурно-массовых мероприятий клубов и домов культуры</t>
  </si>
  <si>
    <t>Количество посещений платных культурно-массовых мероприятий клубов и домов культуры</t>
  </si>
  <si>
    <t>Прирост посещений общедоступных (публичных) библиотек</t>
  </si>
  <si>
    <t>Количество посещений общедоступных (публичных) библиотек</t>
  </si>
  <si>
    <t>3.4</t>
  </si>
  <si>
    <t xml:space="preserve">Увеличение общего количества посещений музеев </t>
  </si>
  <si>
    <t xml:space="preserve">У% = Ко / Кп  х 100%,
где:
У% - количество посещений по отношению к 2017 году;
Ко – количество посещений в отчетном году, тыс. чел.;
Кп -  количество посещений в 2017 году, тыс. чел. </t>
  </si>
  <si>
    <t>Форма федерального статистического наблюдения № 8-НК «Сведения о деятельности музея», утвержденная приказом Федеральной службы государственной статистики от 26.09.2018 № 584 «Об утверждении статистического инструментария для организации Министерством культуры Российской Федерации федерального статистического наблюдения за деятельностью музеев»</t>
  </si>
  <si>
    <t>Акт выполненных работ</t>
  </si>
  <si>
    <t>Количество выставочных проектов, проведенных в отчетном году</t>
  </si>
  <si>
    <t>Форма федерального статистического наблюдения № 6-НК «Сведения об общедоступной (публичной) библиотеке»</t>
  </si>
  <si>
    <t>Количество библиотек, внедривших стандарты деятельности библиотеки нового формата в отчетном году</t>
  </si>
  <si>
    <t>Отчет библиотеки</t>
  </si>
  <si>
    <t xml:space="preserve">Формы 7-НК , внутриведомственная отчетность учреждений культуры </t>
  </si>
  <si>
    <t>Тыс. чел</t>
  </si>
  <si>
    <t>Количество посещений платных культурно-массовых мероприятий клубов и домов культуры в отчетном году</t>
  </si>
  <si>
    <t>Количество участников клубных формирований в отчетном году</t>
  </si>
  <si>
    <t>Количество учреждений дополнительного образования детей обеспеченных музыкальными инструментами в отчетном году</t>
  </si>
  <si>
    <t>Стат отчет парка</t>
  </si>
  <si>
    <t>Единица</t>
  </si>
  <si>
    <t>Увеличение туристского и экскурсионного потока в Рузский городской округ</t>
  </si>
  <si>
    <t>ТЭП = Ткср +Тсв+Э, 
где:
ТЭП – объем туристского и экскурсионного потока;
Ткср  – число туристов, размещенных в коллективных средствах размещения;
Тсв – число туристов, размещенных не в коллективных средствах размещения;
Э – число однодневных посетителей-экскурсантов.</t>
  </si>
  <si>
    <t>Территориальный орган Федеральной службы государственной статистики по Московской области (Мособлстат);
экспертные оценки</t>
  </si>
  <si>
    <t xml:space="preserve">(Т + М + Б + КДУ + КДФ+ ДШИ + АК+КО) / (Т2017 + М2017 + Б2017 + КДУ2017 +КДФ2017 + ДШИ2017  + АК2017+КО2017) х 100, где:                                                                  Т / Т2017– количество посещений государственных и муниципальных театров, негосударственных организаций, осуществляющих театральную деятельность (мероприятий в России) в отчетном году / в 2017 году, тыс. человек; М / М2017– количество посещений государственных, муниципальных и негосударственных организаций музейного типа в отчетном году / в 2017 году, тыс. человек;                                                                                                                                              Б / Б2017– количество посещений общедоступных (публичных) библиотек, а также культурно-массовых мероприятий, проводимых в библиотеках, в отчетном году / в 2017 году, тыс. человек;                                                                                                                  КДУ / КДУ2017 – количество посещений платных культурно-массовых мероприятий клубов и домов культуры в отчетном году / в 2017 году, тыс. человек;                             КДФ / КДФ2017 – количество участников клубных формирований в отчетном году / в 2017 году, тыс. человек;                                                                                                              ДШИ / ДШИ2017 – количество учащихся детских школ искусств по видам искусств и училищ в отчетном году / в 2017 году, тыс. человек;                                                              АК/АК2017– численность населения, получившего услуги автоклубов в отчетном году, тыс. человек </t>
  </si>
  <si>
    <r>
      <rPr>
        <i/>
        <sz val="10"/>
        <color rgb="FF000000"/>
        <rFont val="Times New Roman"/>
        <family val="1"/>
        <charset val="204"/>
      </rPr>
      <t>Рузский краеведческий музей</t>
    </r>
    <r>
      <rPr>
        <i/>
        <sz val="10"/>
        <color rgb="FF000000"/>
        <rFont val="Times New Roman"/>
        <family val="1"/>
        <charset val="204"/>
      </rPr>
      <t/>
    </r>
  </si>
  <si>
    <r>
      <rPr>
        <i/>
        <sz val="10"/>
        <color rgb="FF000000"/>
        <rFont val="Times New Roman"/>
        <family val="1"/>
        <charset val="204"/>
      </rPr>
      <t>Рузского краеведческого музея</t>
    </r>
    <r>
      <rPr>
        <i/>
        <sz val="10"/>
        <color rgb="FF000000"/>
        <rFont val="Times New Roman"/>
        <family val="1"/>
        <charset val="204"/>
      </rPr>
      <t/>
    </r>
  </si>
  <si>
    <r>
      <t xml:space="preserve">Расходы Рузского краеведческого музея:                                                    </t>
    </r>
    <r>
      <rPr>
        <sz val="9"/>
        <color rgb="FF000000"/>
        <rFont val="Times New Roman"/>
        <family val="1"/>
        <charset val="204"/>
      </rPr>
      <t xml:space="preserve">Налог на загрязнение окружающей среды, налог на имущество - 43,5 тыс. руб.                     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</t>
    </r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</si>
  <si>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>Подписка</t>
    </r>
    <r>
      <rPr>
        <i/>
        <sz val="9"/>
        <color rgb="FF000000"/>
        <rFont val="Times New Roman"/>
        <family val="1"/>
        <charset val="204"/>
      </rPr>
      <t xml:space="preserve"> - </t>
    </r>
    <r>
      <rPr>
        <sz val="9"/>
        <color rgb="FF000000"/>
        <rFont val="Times New Roman"/>
        <family val="1"/>
        <charset val="204"/>
      </rPr>
      <t xml:space="preserve">50,0 тыс. руб.;  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</t>
    </r>
    <r>
      <rPr>
        <sz val="9"/>
        <color rgb="FF000000"/>
        <rFont val="Times New Roman"/>
        <family val="1"/>
        <charset val="204"/>
      </rPr>
      <t xml:space="preserve">                                </t>
    </r>
    <r>
      <rPr>
        <i/>
        <sz val="9"/>
        <color rgb="FF000000"/>
        <rFont val="Times New Roman"/>
        <family val="1"/>
        <charset val="204"/>
      </rPr>
      <t/>
    </r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</si>
  <si>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                  Услуги типографии - 300 тыс. руб.;                                Услуги по изготовлению печатной продукции - 65,2 тыс. руб.                                                                                                     </t>
    </r>
    <r>
      <rPr>
        <sz val="9"/>
        <color rgb="FF000000"/>
        <rFont val="Times New Roman"/>
        <family val="1"/>
        <charset val="204"/>
      </rPr>
      <t xml:space="preserve">                  </t>
    </r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</si>
  <si>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>Уборка снега</t>
    </r>
    <r>
      <rPr>
        <i/>
        <sz val="9"/>
        <color rgb="FF000000"/>
        <rFont val="Times New Roman"/>
        <family val="1"/>
        <charset val="204"/>
      </rPr>
      <t xml:space="preserve"> - 55,0</t>
    </r>
    <r>
      <rPr>
        <sz val="9"/>
        <color rgb="FF000000"/>
        <rFont val="Times New Roman"/>
        <family val="1"/>
        <charset val="204"/>
      </rPr>
      <t xml:space="preserve"> тыс. руб.;  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</t>
    </r>
    <r>
      <rPr>
        <sz val="9"/>
        <color rgb="FF000000"/>
        <rFont val="Times New Roman"/>
        <family val="1"/>
        <charset val="204"/>
      </rPr>
      <t xml:space="preserve">                                </t>
    </r>
    <r>
      <rPr>
        <i/>
        <sz val="9"/>
        <color rgb="FF000000"/>
        <rFont val="Times New Roman"/>
        <family val="1"/>
        <charset val="204"/>
      </rPr>
      <t/>
    </r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</si>
  <si>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/>
    </r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</si>
  <si>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   </t>
    </r>
    <r>
      <rPr>
        <sz val="9"/>
        <color rgb="FF000000"/>
        <rFont val="Times New Roman"/>
        <family val="1"/>
        <charset val="204"/>
      </rPr>
      <t xml:space="preserve">               Промывка опрессовка системы отопления - 65,0 тыс. руб.;                                                                                 </t>
    </r>
    <r>
      <rPr>
        <i/>
        <sz val="9"/>
        <color rgb="FF000000"/>
        <rFont val="Times New Roman"/>
        <family val="1"/>
        <charset val="204"/>
      </rPr>
      <t/>
    </r>
  </si>
  <si>
    <t>Рузский краеведческий музей</t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</si>
  <si>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   </t>
    </r>
    <r>
      <rPr>
        <sz val="9"/>
        <color rgb="FF000000"/>
        <rFont val="Times New Roman"/>
        <family val="1"/>
        <charset val="204"/>
      </rPr>
      <t xml:space="preserve">               Мероприятия по охране труда - 44,0 тыс. руб.;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</si>
  <si>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</si>
  <si>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Электроэнергия - 612,4 тыс. руб.;                 Теплоэнергия  - 1370,6 тыс. руб.;                      Холодное водоснабжение - 50 тыс. руб.;        Горячее водоснабжение  - 63,6 тыс. руб.                            </t>
    </r>
    <r>
      <rPr>
        <i/>
        <sz val="10"/>
        <color rgb="FF000000"/>
        <rFont val="Times New Roman"/>
        <family val="1"/>
        <charset val="204"/>
      </rPr>
      <t/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</si>
  <si>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Налог на имущество  - 70,0 тыс. руб.;                                  Налог за негативное воздействие на окружающую среду  - 88 тыс. руб.;                                           </t>
    </r>
    <r>
      <rPr>
        <i/>
        <sz val="10"/>
        <color rgb="FF000000"/>
        <rFont val="Times New Roman"/>
        <family val="1"/>
        <charset val="204"/>
      </rPr>
      <t/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</si>
  <si>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Подписка на периодические издания - 958,1 тыс. руб.</t>
    </r>
  </si>
  <si>
    <t xml:space="preserve">Централизованная библиотечная система: </t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</si>
  <si>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   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</si>
  <si>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Повышение квалификации - 243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</si>
  <si>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</si>
  <si>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r>
      <rPr>
        <i/>
        <sz val="10"/>
        <color rgb="FF000000"/>
        <rFont val="Times New Roman"/>
        <family val="1"/>
        <charset val="204"/>
      </rPr>
      <t>Централизованная клубная система:</t>
    </r>
    <r>
      <rPr>
        <sz val="10"/>
        <color rgb="FF000000"/>
        <rFont val="Times New Roman"/>
        <family val="1"/>
        <charset val="204"/>
      </rPr>
      <t xml:space="preserve"> 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</si>
  <si>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       </t>
    </r>
    <r>
      <rPr>
        <sz val="10"/>
        <color theme="1"/>
        <rFont val="Times New Roman"/>
        <family val="1"/>
        <charset val="204"/>
      </rPr>
      <t xml:space="preserve">Техническое обслуживание узла учета тепловой энергии- 70,9 тыс. руб.;                                                                    Расходы по вывозу и утилизации мусора- 58,6 тыс. руб.;                                                                             Расходы на долевое участие в содержании имущества - 370 тыс. руб.;                                                        Услуги связи  - 105,7тыс. руб.;                                  </t>
    </r>
  </si>
  <si>
    <r>
      <t xml:space="preserve">Централизованная клубная система:                 </t>
    </r>
    <r>
      <rPr>
        <sz val="10"/>
        <color rgb="FF000000"/>
        <rFont val="Times New Roman"/>
        <family val="1"/>
        <charset val="204"/>
      </rPr>
      <t>Налог на землю, Налог на имущество - 700,0</t>
    </r>
  </si>
  <si>
    <r>
      <t xml:space="preserve">Централизованная клубная система:                     </t>
    </r>
    <r>
      <rPr>
        <sz val="10"/>
        <color rgb="FF000000"/>
        <rFont val="Times New Roman"/>
        <family val="1"/>
        <charset val="204"/>
      </rPr>
      <t>Подписка на периодические издания- 45 тыс. руб.</t>
    </r>
  </si>
  <si>
    <r>
      <t xml:space="preserve">Централизованная клубная система:                     </t>
    </r>
    <r>
      <rPr>
        <sz val="10"/>
        <color rgb="FF000000"/>
        <rFont val="Times New Roman"/>
        <family val="1"/>
        <charset val="204"/>
      </rPr>
      <t>Уборка снега - 200 тыс. руб.</t>
    </r>
  </si>
  <si>
    <r>
      <t xml:space="preserve">Централизованная клубная система:  </t>
    </r>
    <r>
      <rPr>
        <sz val="10"/>
        <color rgb="FF000000"/>
        <rFont val="Times New Roman"/>
        <family val="1"/>
        <charset val="204"/>
      </rPr>
      <t>Сервисное обслуживание автомобиля - 150 тыс. руб.</t>
    </r>
  </si>
  <si>
    <r>
      <t xml:space="preserve">Централизованная клубная система: </t>
    </r>
    <r>
      <rPr>
        <sz val="10"/>
        <color rgb="FF000000"/>
        <rFont val="Times New Roman"/>
        <family val="1"/>
        <charset val="204"/>
      </rPr>
      <t>Реставрация одежды сцены - 200,0 тыс. руб.</t>
    </r>
  </si>
  <si>
    <r>
      <t xml:space="preserve">Централизованная клубная система:                    </t>
    </r>
    <r>
      <rPr>
        <sz val="10"/>
        <color rgb="FF000000"/>
        <rFont val="Times New Roman"/>
        <family val="1"/>
        <charset val="204"/>
      </rPr>
      <t xml:space="preserve">Расходы в соответствии с календарным планом учреждения - 2400 тыс. руб.;                           </t>
    </r>
  </si>
  <si>
    <t>Централизованная клубная сиситема.</t>
  </si>
  <si>
    <r>
      <t xml:space="preserve">Централизованная клубная система:                </t>
    </r>
    <r>
      <rPr>
        <sz val="10"/>
        <color rgb="FF000000"/>
        <rFont val="Times New Roman"/>
        <family val="1"/>
        <charset val="204"/>
      </rPr>
      <t>Промывка опрессовка систем отоплений - 300 тыс. руб.                                                                                    Замена старых входных групп и окон, с целью экономии теплоэнергии - 200 тыс. руб.</t>
    </r>
  </si>
  <si>
    <r>
      <t xml:space="preserve">Централизованная клубная система:                   </t>
    </r>
    <r>
      <rPr>
        <sz val="10"/>
        <color rgb="FF000000"/>
        <rFont val="Times New Roman"/>
        <family val="1"/>
        <charset val="204"/>
      </rPr>
      <t>Спецоценка условий труда - 90 тыс. руб.</t>
    </r>
  </si>
  <si>
    <t xml:space="preserve">Обеспечение детских музыкальных школ и школ искусств необходимыми музыкальными инструментами (количество оснащенных необходимыми музыкальными инструментами образовательных организаций сферы культуры)
</t>
  </si>
  <si>
    <t>8.3</t>
  </si>
  <si>
    <t>Отношение среднемесячной заработной платы работников муниципальных учреждений в сфере культуры за 2018 год  (без учета повышения с 01.09.2018 года) к среднемесячной заработной плате указанной категории  работников за 2017 год</t>
  </si>
  <si>
    <t>коэффициент</t>
  </si>
  <si>
    <t>Отношение среднемесячной заработной платы работников муниципальных учреждений культуры за период с 01.09.2018 года  по 31.12.2018 года к среднемесячной заработной плате указанной категории работников, определенный, исходя из условий оплаты труда работников муниципальных учреждений на 2018 год до 01.09.2018г.</t>
  </si>
  <si>
    <t>Количество объектов культурного наследия, находящихся в собственности муниципального образования, по которым разработана проектная документация</t>
  </si>
  <si>
    <t>Количество информационных надписей, установленных на объектах культурного наследия, находящихся в собственности муниципального образования</t>
  </si>
  <si>
    <t>Приложение № 1</t>
  </si>
  <si>
    <t xml:space="preserve">Увеличение числа посетителей парков культуры и отдыха </t>
  </si>
  <si>
    <t>5.2</t>
  </si>
  <si>
    <t>Кпп%=Ко/Кп х 100%,
где:
Кпп% - количество посетителей по отношению к базовому году;
Ко – количество посетителей в отчетном году, тыс. человек;
Кп – количество посетителей в базовом году, тыс. человек</t>
  </si>
  <si>
    <t>Процент по отношению к базовому году</t>
  </si>
  <si>
    <t>Форма федерального статистического наблюдения № 11-НК «Сведения о работе парка культуры и отдыха (городского сада)», утвержденная приказом Росстата от 30.12.2015 №671 «Об утверждении статистического инструментария для организации Минкультуры России Федерального статистического наблюдения за деятельностью учреждений культуры»;
журналы учета работы парков</t>
  </si>
  <si>
    <r>
      <rPr>
        <sz val="12"/>
        <color theme="1"/>
        <rFont val="Times New Roman"/>
        <family val="1"/>
        <charset val="204"/>
      </rPr>
      <t>С</t>
    </r>
    <r>
      <rPr>
        <sz val="10"/>
        <color theme="1"/>
        <rFont val="Times New Roman"/>
        <family val="1"/>
        <charset val="204"/>
      </rPr>
      <t xml:space="preserve"> = </t>
    </r>
    <r>
      <rPr>
        <sz val="12"/>
        <color theme="1"/>
        <rFont val="Times New Roman"/>
        <family val="1"/>
        <charset val="204"/>
      </rPr>
      <t>З</t>
    </r>
    <r>
      <rPr>
        <sz val="10"/>
        <color theme="1"/>
        <rFont val="Times New Roman"/>
        <family val="1"/>
        <charset val="204"/>
      </rPr>
      <t>18 /</t>
    </r>
    <r>
      <rPr>
        <sz val="12"/>
        <color theme="1"/>
        <rFont val="Times New Roman"/>
        <family val="1"/>
        <charset val="204"/>
      </rPr>
      <t xml:space="preserve"> З</t>
    </r>
    <r>
      <rPr>
        <sz val="10"/>
        <color theme="1"/>
        <rFont val="Times New Roman"/>
        <family val="1"/>
        <charset val="204"/>
      </rPr>
      <t xml:space="preserve">17 ,
где:
</t>
    </r>
    <r>
      <rPr>
        <sz val="12"/>
        <color theme="1"/>
        <rFont val="Times New Roman"/>
        <family val="1"/>
        <charset val="204"/>
      </rPr>
      <t>С</t>
    </r>
    <r>
      <rPr>
        <sz val="10"/>
        <color theme="1"/>
        <rFont val="Times New Roman"/>
        <family val="1"/>
        <charset val="204"/>
      </rPr>
      <t xml:space="preserve"> - отношение средней заработной платы работников муниципальных учреждений культуры за 2018год к средней заработной плате за 2017 год.;
З18 - средняя заработная плата работников муниципальных учреждений культуры за 2018 год ;
З17 - средняя заработная плата работников муниципальных учреждений культуры за 2017 год </t>
    </r>
  </si>
  <si>
    <t>Коэффициэнт</t>
  </si>
  <si>
    <t xml:space="preserve">Форма федерального статистического наблюдения N ЗП-культура "Сведения о численности и оплате труда работников сферы культуры по категориям персонала", утвержденная приказом Росстата от 30.12.2013 N 508 </t>
  </si>
  <si>
    <t>8.4</t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</si>
  <si>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 xml:space="preserve">Услуги типографии, изготовления бланков </t>
    </r>
    <r>
      <rPr>
        <i/>
        <sz val="9"/>
        <color rgb="FF000000"/>
        <rFont val="Times New Roman"/>
        <family val="1"/>
        <charset val="204"/>
      </rPr>
      <t xml:space="preserve">- </t>
    </r>
    <r>
      <rPr>
        <sz val="9"/>
        <color rgb="FF000000"/>
        <rFont val="Times New Roman"/>
        <family val="1"/>
        <charset val="204"/>
      </rPr>
      <t xml:space="preserve">26,1 тыс. руб.;                                </t>
    </r>
    <r>
      <rPr>
        <i/>
        <sz val="9"/>
        <color rgb="FF000000"/>
        <rFont val="Times New Roman"/>
        <family val="1"/>
        <charset val="204"/>
      </rPr>
      <t/>
    </r>
  </si>
  <si>
    <t>Обеспечение выполнения функций пакров культуры и отдыха</t>
  </si>
  <si>
    <t xml:space="preserve">Объем бюджетных ассигнований определяется на основании заявки парка Городок:
- электроэнергия -185,7 тыс.руб.
</t>
  </si>
  <si>
    <t>1.1.4 Обеспечение деятельности учреждений в части расходов на текущее содержание</t>
  </si>
  <si>
    <t>1.1.5 Обеспечение деятельности учреждений в части расходов на  информационно-коммуникационные технологии</t>
  </si>
  <si>
    <t xml:space="preserve">1.1.6 Обеспечение деятельности учреждений в части приобретения материальных запасов </t>
  </si>
  <si>
    <t xml:space="preserve">1.1.7 Обеспечение деятельности учреждений в части уплаты налогов, сборов  </t>
  </si>
  <si>
    <t>1.1.8 Реализация отдельных мероприятий муниципальных программ (подпрограмм) в сфере культуры</t>
  </si>
  <si>
    <t>1.2.1 Обеспечение деятельности учреждений в части приобретения основных средств</t>
  </si>
  <si>
    <t>1.2.2 Обеспечение деятельности учреждения в частии обучения и повышения квалификации.</t>
  </si>
  <si>
    <t>1.2.3 Уборка снега</t>
  </si>
  <si>
    <t>1.2.4 Проведение ремонтных работ зданий и сооружений</t>
  </si>
  <si>
    <t>Уплата налогов и сборов- налог на имущество</t>
  </si>
  <si>
    <t>Приобретение основных средств: триммер, снегоуборочная машина и воздуходувка.</t>
  </si>
  <si>
    <t>Повышение квалификации 1 человек обучение механика по атракционам</t>
  </si>
  <si>
    <t>Проведение ремонтных работ зданий и сооружений. Покраска и ремонт деревянных конструкций</t>
  </si>
  <si>
    <t>Проведение мероприятий каких: Открытие парка на летний период,день защиты детей, день молодежи. Фестивали.</t>
  </si>
  <si>
    <t>Заключение договоров на оценку технического состояния аттракционов.</t>
  </si>
  <si>
    <t>4.1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</si>
  <si>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Увеличение туристского и экскурсионного потока в  Рузском городском округе. Субсидии муниципальным учреждениям на иные цели</t>
  </si>
  <si>
    <t>Развитие рынка туристских услуг на территории Рузского городского округа и создание благоприятных условий для развития внутреннего и въездного туризма.Субсидии муниципальным учреждениям на иные цели</t>
  </si>
  <si>
    <t xml:space="preserve"> Развитие туристской инфраструктуры. Субсидии муниципальным учреждениям на иные цели</t>
  </si>
  <si>
    <t>Развитие туристской инфраструктуры. Субсидии муниципальным учреждениям на иные цели</t>
  </si>
  <si>
    <t>Проведение информационных туров в Рузский городской округ</t>
  </si>
  <si>
    <t>Расчет необходимых финансовых ресурсов на реализацию мероприятия на 2019 год</t>
  </si>
  <si>
    <t>Совокупность расходов на оплату труда 13 штатных ед. Фонд - 3859,2 тыс. руб, Налоги - 1165,5 тыс. руб.</t>
  </si>
  <si>
    <t>1.10</t>
  </si>
  <si>
    <r>
      <t xml:space="preserve">Централизованная клубная система: </t>
    </r>
    <r>
      <rPr>
        <sz val="10"/>
        <color rgb="FF000000"/>
        <rFont val="Times New Roman"/>
        <family val="1"/>
        <charset val="204"/>
      </rPr>
      <t xml:space="preserve">Электроэнергия - 4751,3 тыс. руб.;                 Теплоэнергия  - 1 464,8 тыс. руб.;                      Холодное водоснабжение - 369,5 тыс. руб.               Горячее водоснабжение  - 179,0 тыс. руб.                    Поставка и транспортировкагаза - 145,6 тыс. руб.                                         </t>
    </r>
  </si>
  <si>
    <t>на 2019 год финансирования нет</t>
  </si>
  <si>
    <t xml:space="preserve"> На 2019 год финансирования нет</t>
  </si>
  <si>
    <t xml:space="preserve">  На 2019 год финансирования нет</t>
  </si>
  <si>
    <t xml:space="preserve">
 На 2019 год финансирования нет</t>
  </si>
  <si>
    <t>1.10 Подписка на периодические издания</t>
  </si>
  <si>
    <t>Подписка на газеты и журналы - 800 руб.</t>
  </si>
  <si>
    <t>В 2019 году финансирование не предусмотрено</t>
  </si>
  <si>
    <t>7.2</t>
  </si>
  <si>
    <t>7.3</t>
  </si>
  <si>
    <t>Объем платных туристских услуг, оказанных населению (в т.ч. объем платных услуг гостиниц и аналогичных средств размещения)</t>
  </si>
  <si>
    <t>Число граждан, размещенных в коллективных средствах размещения</t>
  </si>
  <si>
    <t>Строительство и реконструкция объектов культуры</t>
  </si>
  <si>
    <t>Выполнение работ по корректировке проектно-сметной документации на строительство дома культуры в д. Нестерово</t>
  </si>
  <si>
    <t xml:space="preserve">Расходы по вывозу и утилизации мусора - 26,3 тыс.руб.                                                                     
Откачка биотуалетов и модульного туалета -  36,95 т.р.                                                                        Текущее содержание модульных туалетов - 92,3 тыс. руб.                                                                    </t>
  </si>
  <si>
    <t>Хозтовары -79,0 тыс. руб.                                Нефтепродукты.- 29,9 тыс. руб.</t>
  </si>
  <si>
    <t>млн. руб.</t>
  </si>
  <si>
    <t>тыс. человек</t>
  </si>
  <si>
    <t>Тр  = Yn/Y0 х 100%,
где:
Тр - темп роста значений показателей эффективности реализации Подпрограммы VII;
Yn – значение показателя на конец реализации программы;
Y0 – базовое значение показателя</t>
  </si>
  <si>
    <t>Млн. руб</t>
  </si>
  <si>
    <t>Форма № 1- услуги «Сведения о деятельности коллективного средства размещения», утвержденная постановлением Правительства Московской области от 26.11.2011 № 1454/49 «О Сводном  перечне статистической информации для органов государственной власти Московской области, государственных органов Московской области и государственных учреждений Московской области на 2012 год»</t>
  </si>
  <si>
    <t>Тыс. чел.</t>
  </si>
  <si>
    <t>Форма № 1- КСР «Сведения о деятельности коллективного средства размещения», утвержденная постановлением Правительства Московской области от 26.11.2011 № 1454/49 «О Сводном перечне статистической информации для органов государственной власти Московской области, государственных органов Московской области и государственных учреждений Московской области на 2012 год»</t>
  </si>
  <si>
    <t xml:space="preserve">         </t>
  </si>
  <si>
    <t>Строительство и реконструкция объектов культуры. Строительство дома культуры по адресу: Московская область, Рузский городской округ, д. Нестерово ( в том числе проектно-изыскательские работы)</t>
  </si>
  <si>
    <t>Итого по основному мероприятию</t>
  </si>
  <si>
    <r>
      <t>Заместитель Главы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 xml:space="preserve">Рузского городского округа А.А. Журавлев </t>
    </r>
  </si>
  <si>
    <t>Федеральный проект А1"Культурная среда"</t>
  </si>
  <si>
    <t xml:space="preserve">Проведение мероприятий по обработке территории учреждений культуры от клещей </t>
  </si>
  <si>
    <t xml:space="preserve">1.2.7 Проведение мероприятий по обработке территории учреждений культуры от клещей </t>
  </si>
  <si>
    <t>1.2.6 Оценка технического состояния аттракционов</t>
  </si>
  <si>
    <t>1.2.5 Проведение мероприятий</t>
  </si>
  <si>
    <t>Заключение договоров по обработке территории парка от клещей - 82 400 руб.</t>
  </si>
  <si>
    <t>1.2 Приобретение автотранспортных средств</t>
  </si>
  <si>
    <t>МБУК ЦКС - приобретение автомобиля ГАЗель</t>
  </si>
  <si>
    <t>Приобренение автотранспортных средств</t>
  </si>
  <si>
    <t xml:space="preserve">Ремонт крыши в Тучковской библиотеке - 3000 000 руб. руб., Ремонт здания школы ДДШИ - 2 167 212 руб, Ремонт системы отопления МАУК РГО РКМ - 533003 руб. </t>
  </si>
  <si>
    <t>Реставрация музейных предметов</t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</si>
  <si>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>Канцелярские товары</t>
    </r>
    <r>
      <rPr>
        <i/>
        <sz val="9"/>
        <color rgb="FF000000"/>
        <rFont val="Times New Roman"/>
        <family val="1"/>
        <charset val="204"/>
      </rPr>
      <t xml:space="preserve"> - 49,4</t>
    </r>
    <r>
      <rPr>
        <sz val="9"/>
        <color rgb="FF000000"/>
        <rFont val="Times New Roman"/>
        <family val="1"/>
        <charset val="204"/>
      </rPr>
      <t xml:space="preserve"> тыс. руб.;                               Хозяйственные товары - 11,4 тыс. руб.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</t>
    </r>
    <r>
      <rPr>
        <sz val="9"/>
        <color rgb="FF000000"/>
        <rFont val="Times New Roman"/>
        <family val="1"/>
        <charset val="204"/>
      </rPr>
      <t xml:space="preserve">                                                                                            </t>
    </r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</si>
  <si>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    </t>
    </r>
    <r>
      <rPr>
        <sz val="9"/>
        <color rgb="FF000000"/>
        <rFont val="Times New Roman"/>
        <family val="1"/>
        <charset val="204"/>
      </rPr>
      <t xml:space="preserve">Электроэнергия - 51,5 тыс. руб.;                                Тепловая энергия - 177 тыс. руб.;                           Холодное водоснабжение - 4,0 тыс. руб.               </t>
    </r>
  </si>
  <si>
    <t>1.2.9</t>
  </si>
  <si>
    <t>1.2.9. Обеспечение деятельности учреждений в части приобретения материальных запасов</t>
  </si>
  <si>
    <t>Расходы Рузского краеведческого музея:                             Реставрация музейных предметов</t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</si>
  <si>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                      Приобретение материальных запасов  -31,6 тыс. руб.     </t>
    </r>
    <r>
      <rPr>
        <sz val="9"/>
        <color rgb="FF000000"/>
        <rFont val="Times New Roman"/>
        <family val="1"/>
        <charset val="204"/>
      </rPr>
      <t xml:space="preserve">                  </t>
    </r>
  </si>
  <si>
    <r>
      <t xml:space="preserve">Расходы Рузского краеведческого музея:                Интернет - 24 тыс. руб.;                                                                    Обслуживание сайта - 30 тыс. руб.;                                                                        Расходные материалы для офисной техники, оборудования - 29,7 тыс. руб.;                                                              Техническое обслуживание КАМИС - 35,0 тыс. руб.  Антивирусное программное обеспечение - 74,9 тыс. руб.   </t>
    </r>
    <r>
      <rPr>
        <sz val="9"/>
        <color rgb="FF000000"/>
        <rFont val="Times New Roman"/>
        <family val="1"/>
        <charset val="204"/>
      </rPr>
      <t xml:space="preserve">                                             </t>
    </r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</si>
  <si>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</t>
    </r>
    <r>
      <rPr>
        <sz val="9"/>
        <color rgb="FF000000"/>
        <rFont val="Times New Roman"/>
        <family val="1"/>
        <charset val="204"/>
      </rPr>
      <t xml:space="preserve">                  Выставочное оборудование -  31,1 тыс. руб.                      Система освещения (прожекторы для залов) - 148 тыс. руб.   Приемник, прожектор, кресло - 47,6 тыс. руб.                                                                                                          </t>
    </r>
  </si>
  <si>
    <r>
      <t xml:space="preserve">Расходы Рузского краеведческого музея:                     </t>
    </r>
    <r>
      <rPr>
        <sz val="9"/>
        <color rgb="FF000000"/>
        <rFont val="Times New Roman"/>
        <family val="1"/>
        <charset val="204"/>
      </rPr>
      <t xml:space="preserve">Услуги связи - 25,0 тыс. руб.;                                                                                   Обслуживание узла учета тепловой энергии - 35,8 тыс. руб.;                                                                                 Оказание услуг по сбору, транспорированию и размещению отходов IV-V классов опасности - 19,9 тыс. руб.;                                                                                       </t>
    </r>
  </si>
  <si>
    <r>
      <t xml:space="preserve">Объем бюджетных ассигнований определяется на основании заявки 2 муниципальных учреждений сферы культуры Рузского городского округа .       К=Е х5 лет, где
К - Общий объем средств на комплектование книжных фондов муниципальных библиотек;
Е - Ежегодный объем средств на комплектование книжных фондов муниципальных библиотек;
Е=Ср  х Кол, где  
Е - ежегодный объем средств на комплектование книжных фондов муниципальных библиотек;   
Ср - средняя цена книги (составляет 300 руб.) 
Кол - количество книг, согласованных к приобретению муниципальным библиотекам.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Централизованная библиотечная система: </t>
    </r>
    <r>
      <rPr>
        <sz val="10"/>
        <color rgb="FF000000"/>
        <rFont val="Times New Roman"/>
        <family val="1"/>
        <charset val="204"/>
      </rPr>
      <t>Приобретение книг для обновление книжного фонда - 1637,4 тыс руб.</t>
    </r>
  </si>
  <si>
    <t>Дополнительный показатель</t>
  </si>
  <si>
    <t>2019 Количество созданных (реконструированных) и капитально отремонтированных объектов организаций культуры (ед) ( нарастающим итогом)</t>
  </si>
  <si>
    <t>Указ Президента РФ от 07.05.2018 № 204, национальный проект «Культура»</t>
  </si>
  <si>
    <t>6.3</t>
  </si>
  <si>
    <t>2019 Количество организаций культуры, получивших современное оборудование (ед.) (нарастающим итогом)</t>
  </si>
  <si>
    <t>единиц</t>
  </si>
  <si>
    <t xml:space="preserve">единиц  </t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</si>
  <si>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                                           Мебель - 701,0 тыс. руб.;                                               Проектор с экраном на треноге - 324,0 тыс. руб.; Вазоны уличные - 60,6 тыс. руб.;                         Рекламно-информационная панель - 648,0 тыс. руб.;                                                                            Вешалка напольная - 154,0 тыс. руб.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  <r>
      <rPr>
        <sz val="10"/>
        <color rgb="FF000000"/>
        <rFont val="Times New Roman"/>
        <family val="1"/>
        <charset val="204"/>
      </rPr>
      <t xml:space="preserve">                                                 Аккустическая система - 0,0 тыс. руб.                             Стенд уличный  - 92 тыс руб.                                                   Микрофонная радиосистема - 0,0 тыс. руб.              Микшеры и аккустическое оборудование - 0,0 тыс. руб.                                                                                    Звуковое оборудование - 184,52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</si>
  <si>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                                                  Единовременное подключение WI - FI и IP адреса - 0,0 тыс. руб.;                                                        Приобретение компьютерного оборудования, оргтехники и комплектующих- 726,6 тыс. руб.                      Программное обеспечение "Система культура" - 56,0  тыс. руб.</t>
    </r>
  </si>
  <si>
    <r>
      <t xml:space="preserve">Централизованная библиотечная система:      </t>
    </r>
    <r>
      <rPr>
        <sz val="10"/>
        <color rgb="FF000000"/>
        <rFont val="Times New Roman"/>
        <family val="1"/>
        <charset val="204"/>
      </rPr>
      <t>Канцелярские товары -  260 тыс. руб.;             Хозяйственные товары - 150 тыс. руб.;                    Бумага - 100 тыс. руб.;                                                     Пластиковая карта на единый читательский билет - 25 тыс. руб.                                                                       Вывески информационные - 0,0 тыс. руб.                                            Библиотечная техника - 90 тыс. руб.                       Вывеска "Библиотека" из отдельных объемных букв - 40 тыс. руб.                                                              Информационные стенды -25,0 тыс. руб.</t>
    </r>
  </si>
  <si>
    <r>
      <t xml:space="preserve">Объем финансового обеспечения выполнения на зп и налоги: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Рузского краеведческого музея</t>
    </r>
    <r>
      <rPr>
        <sz val="10"/>
        <color rgb="FF000000"/>
        <rFont val="Times New Roman"/>
        <family val="1"/>
        <charset val="204"/>
      </rPr>
      <t xml:space="preserve">- 20,16 ставки, Фонд Зп -12452,4 тыс. руб. Налоги - 3760,6 тыс. руб.                                                       </t>
    </r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</si>
  <si>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              </t>
    </r>
    <r>
      <rPr>
        <sz val="9"/>
        <color rgb="FF000000"/>
        <rFont val="Times New Roman"/>
        <family val="1"/>
        <charset val="204"/>
      </rPr>
      <t xml:space="preserve">Приобретение компьютера - 44,2 тыс. руб.                      </t>
    </r>
  </si>
  <si>
    <r>
      <t xml:space="preserve">Объем финансового обеспечения выполнения на зп и налоги:                                                     </t>
    </r>
    <r>
      <rPr>
        <i/>
        <sz val="10"/>
        <color rgb="FF000000"/>
        <rFont val="Times New Roman"/>
        <family val="1"/>
        <charset val="204"/>
      </rPr>
      <t>Централизованная библиотечная система</t>
    </r>
    <r>
      <rPr>
        <sz val="10"/>
        <color rgb="FF000000"/>
        <rFont val="Times New Roman"/>
        <family val="1"/>
        <charset val="204"/>
      </rPr>
      <t xml:space="preserve"> - 82,5 ставок, Фонд Зп - 46530,8 тыс руб; Налоги - 14052,3 тыс. руб. тыс. руб.                            </t>
    </r>
  </si>
  <si>
    <r>
      <t xml:space="preserve">Объем финансового обеспечения выполнения на зп и налоги: </t>
    </r>
    <r>
      <rPr>
        <i/>
        <sz val="10"/>
        <color rgb="FF000000"/>
        <rFont val="Times New Roman"/>
        <family val="1"/>
        <charset val="204"/>
      </rPr>
      <t>Централизованную клубную систему:</t>
    </r>
    <r>
      <rPr>
        <sz val="10"/>
        <color rgb="FF000000"/>
        <rFont val="Times New Roman"/>
        <family val="1"/>
        <charset val="204"/>
      </rPr>
      <t xml:space="preserve">  - 180,25 ставок, Фонд на з/пл 86130,4 тыс руб. и налоги  26011,2 тыс. руб.</t>
    </r>
  </si>
  <si>
    <t>Объем финансового обеспечения выполнения на зп и налоги МКУ РГО Комитет по культуре- 8 ставок, на 12 мес. Фонд Зп - 6475,1</t>
  </si>
  <si>
    <t>Канцелярские принадлежности, моющие средства, хозтовары, бумага для офисной техники – 10 000 руб.</t>
  </si>
  <si>
    <r>
      <rPr>
        <i/>
        <sz val="10"/>
        <color rgb="FF000000"/>
        <rFont val="Times New Roman"/>
        <family val="1"/>
        <charset val="204"/>
      </rPr>
      <t xml:space="preserve">Централизованная библиотечная система:  </t>
    </r>
    <r>
      <rPr>
        <sz val="10"/>
        <color rgb="FF000000"/>
        <rFont val="Times New Roman"/>
        <family val="1"/>
        <charset val="204"/>
      </rPr>
      <t xml:space="preserve">Промывка опрессовка системы отопления  -260,0 тыс. руб.;                                                                 Замена (установка) окон и входных групп - 190,0 тыс. руб.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</t>
    </r>
    <r>
      <rPr>
        <sz val="10"/>
        <color rgb="FF000000"/>
        <rFont val="Times New Roman"/>
        <family val="1"/>
        <charset val="204"/>
      </rPr>
      <t xml:space="preserve">                                             </t>
    </r>
  </si>
  <si>
    <r>
      <rPr>
        <i/>
        <sz val="10"/>
        <color rgb="FF000000"/>
        <rFont val="Times New Roman"/>
        <family val="1"/>
        <charset val="204"/>
      </rPr>
      <t xml:space="preserve">Централизованная библиотечная система:    </t>
    </r>
    <r>
      <rPr>
        <sz val="10"/>
        <color rgb="FF000000"/>
        <rFont val="Times New Roman"/>
        <family val="1"/>
        <charset val="204"/>
      </rPr>
      <t xml:space="preserve">Интернет - 626,81тыс. руб.;                                                      Услуга по обеспечению работоспособности сайта и внедрение новой функциональности  - 34,0 тыс. руб.;                                                                       Приобретение программного обеспечения - 189,7 тыс. руб.;                                                                   Расходных материалов для оргтехники - 69,19 тыс.                   </t>
    </r>
  </si>
  <si>
    <r>
      <t xml:space="preserve">Централизованная клубная система: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Техническое обслуживание счетчиков тепла и электроэнергии - 0,0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Расходы по вывозу и утилизации мусора - 491,3 тыс. руб.;                                                                                                                                                         Оплата услуг электронной кассы -  0,0тыс. руб.;                                                                                                                                                           Дератизация - 220,0 тыс. руб.                                                                                                                                                                                                                                   Услуги связи  - 200 тыс. руб.;                                        Услуги сотовой связи - 0,0 тыс;                                                                                                                                                                                                                                                                                                                                                                                                                                                                                                                                                                                                                                                                                                                                                                                                                                                                                                                                                                                                                                                                                                                                                                                                                                                              Аренда помещения - 396,0 тыс. руб.;                           Выполнение работ по содержанию канализационной сети - 100 тыс руб;                           Утилизация ламп - 50 тыс. руб.                           </t>
    </r>
  </si>
  <si>
    <r>
      <t xml:space="preserve">Централизованная клубная система:           </t>
    </r>
    <r>
      <rPr>
        <sz val="10"/>
        <rFont val="Times New Roman"/>
        <family val="1"/>
        <charset val="204"/>
      </rPr>
      <t xml:space="preserve">Интернет - 616,6 тыс. руб.;                           Приобретение программного обеспечения - 134,5 тыс. руб.;                                                                   Обслуживание /ПК и оргтехники - 0,0 тыс. руб.;  Приобретение катриджей -148,9  тыс. руб;                                                                                                                             Изготовление ключей ЭЦП - 0,0 тыс. руб.                                                        Обслуживание сайта - 75,0 тыс. руб.                            IP- телефония - 182,1 тыс. руб.                 </t>
    </r>
  </si>
  <si>
    <r>
      <t xml:space="preserve">Централизованная клубная система:                     </t>
    </r>
    <r>
      <rPr>
        <sz val="10"/>
        <color rgb="FF000000"/>
        <rFont val="Times New Roman"/>
        <family val="1"/>
        <charset val="204"/>
      </rPr>
      <t xml:space="preserve">Канцелярские товары - 228,5 тыс. руб.;  Приобретение аптечек -  0,0 тыс. руб.                  Хозяйстыенные товары - 392,0 тыс. руб.;                      Приобретение мусорных баков - 0,0 тыс. руб.              Бумага - 126,3 тыс руб.  </t>
    </r>
    <r>
      <rPr>
        <u/>
        <sz val="10"/>
        <color rgb="FF000000"/>
        <rFont val="Times New Roman"/>
        <family val="1"/>
        <charset val="204"/>
      </rPr>
      <t xml:space="preserve">   </t>
    </r>
    <r>
      <rPr>
        <sz val="10"/>
        <color rgb="FF000000"/>
        <rFont val="Times New Roman"/>
        <family val="1"/>
        <charset val="204"/>
      </rPr>
      <t xml:space="preserve">                                            ГСМ - 559,2 тыс. руб.;                                                 Электротовары - 200 тыс. руб.;                              Краска, инструменты, материалы для комплексного обслуживания зданий и сооружений - 95,8 тыс. руб.  </t>
    </r>
  </si>
  <si>
    <r>
      <rPr>
        <i/>
        <sz val="10"/>
        <color rgb="FF000000"/>
        <rFont val="Times New Roman"/>
        <family val="1"/>
        <charset val="204"/>
      </rPr>
      <t xml:space="preserve">Централизованная клубная система:                      </t>
    </r>
    <r>
      <rPr>
        <sz val="10"/>
        <color rgb="FF000000"/>
        <rFont val="Times New Roman"/>
        <family val="1"/>
        <charset val="204"/>
      </rPr>
      <t xml:space="preserve">Микшерный пульт - 240 тыс. руб.;                                           Приобретение мебели - 150 тыс. руб.                    Приобретение светотехники - 217,1 тыс. руб. Аккустическая система - 252,5тыс. руб;                         Таблички на здания  с наименованием учреждения - 25,0 тыс руб.                                                         Приобретение мусорных баков - 33,3 тыс. руб. </t>
    </r>
  </si>
  <si>
    <r>
      <rPr>
        <i/>
        <sz val="10"/>
        <color rgb="FF000000"/>
        <rFont val="Times New Roman"/>
        <family val="1"/>
        <charset val="204"/>
      </rPr>
      <t xml:space="preserve">Централизованная клубная система:                    </t>
    </r>
    <r>
      <rPr>
        <sz val="10"/>
        <color rgb="FF000000"/>
        <rFont val="Times New Roman"/>
        <family val="1"/>
        <charset val="204"/>
      </rPr>
      <t xml:space="preserve">Поставка 2х ЖК мониторов 400,00 тыс руб.                        </t>
    </r>
  </si>
  <si>
    <r>
      <rPr>
        <i/>
        <sz val="10"/>
        <color rgb="FF000000"/>
        <rFont val="Times New Roman"/>
        <family val="1"/>
        <charset val="204"/>
      </rPr>
      <t xml:space="preserve">Централизованная клубная система:   </t>
    </r>
    <r>
      <rPr>
        <sz val="10"/>
        <color rgb="FF000000"/>
        <rFont val="Times New Roman"/>
        <family val="1"/>
        <charset val="204"/>
      </rPr>
      <t xml:space="preserve">                  Краска, инструменты, материалы для комплексного обслуживания зданий и сооружений - 879,9 тыс. руб.</t>
    </r>
  </si>
  <si>
    <t>Отраслевой показатель
количество  оснащенных необходимыми музыкальными инструментами образовательных организаций сферы культуры
в рамках реализации госпрограммы Московской области «Образование Подмосковья» на 2017-2025 годы                                            Отчет ДШИ</t>
  </si>
  <si>
    <t>Количество объектов культурного наследия, находящихся в собственности муниципального образования, по которым разработана проектная документация в текущем году</t>
  </si>
  <si>
    <t>М2017 + КДУс2017 + ДШИ2017 + ЦКР2017 - расчет базового показателя за 2017 год, где:
М2017 – количество музеев реконструированных, отремонтированных и построенных в 2017 году;
КДУс2017 - количество клубно-досуговых учреждений в сельской местности построенных, реконструированных и отремонтированных в 2017 году;
ДШИ2017 – количество школ искусств  построенных, реконструированных и отремонтированных в 2017 году;
ЦКР2017 - количество центров культурного развития, построенных, реконструированных и отремонтированных в 2017 году.
(М2017 + КДУс2017 + ДШИ2017 + ЦКР2017 М2017 + КДУс2017 + ДШИ2017 + ЦКР2017) + (Δ М2019+ + Δ ДШИ2019+ ) = расчет показателя за 2019 год
Где:
 Δ М2019 - количество музеев построенных, реконструированных и отремонтированных в отчетном году;
  - количество клубно-досуговых учреждений в сельской местности, построенных, реконструированных и отремонтированных в отчетном году;
Δ ДШИ2019 - количество школ искусств, построенных, реконструированных и отремонтированных в отчетном году;
  - количество центров культурного развития, построенных, реконструированных и отремонтированных в отчетном году.</t>
  </si>
  <si>
    <t xml:space="preserve">Акт о приемке выполненных работ (форма № КС-2), справка о стоимости выполненных работ и затрат (форма № КС-3). </t>
  </si>
  <si>
    <t xml:space="preserve">2019 Количество организаций культуры, получивших современное оборудование (ед.) (нарастающим итогом)
</t>
  </si>
  <si>
    <t>ДШИиУ2017 + КЗ2017 + АК2017 + Бм2017 - расчет базового показателя за 2017 год, где:
ДШИиУ2017 - количество детских школ искусств и училищ, получивших музыкальные инструменты, оборудование и материалы в 2017 году;
КЗ2017 - количество кинозалов, получивших современное оборудование в 2017 году; АК2017 - количество организаций культуры, получивших специализированный автотранспорт в 2017 году;
Бм2017 - количество муниципальных библиотек, получивших современное оборудование в 2017 году.
Где,   - количество детских школ искусств и училищ, получивших музыкальные инструменты, оборудование и материалы в текущем году;
  - количество кинозалов, получивших оборудование в текущем году;
  - количество организаций культуры, получивших специализированный автотранспорт в текущем году;
  - количество муниципальных библиотек,  получивших современное оборудование в текущем году.</t>
  </si>
  <si>
    <t xml:space="preserve">Расходы на стационарную связь - 44,9 руб.;                                                                                                              Оказание услуг по обращению с твердыми коммунальными отходами м.куб 949,56*6,6м3 = 6267,10 руб.;                                                                                                                                     </t>
  </si>
  <si>
    <t xml:space="preserve">Услуги интернета -30000 руб.;                                Обслуживание сайта -28 000 руб.;                      </t>
  </si>
  <si>
    <t>2018-2020гг</t>
  </si>
  <si>
    <t>Страхование автомобиля  - 30,0 тыс. руб.</t>
  </si>
  <si>
    <t>Ремонт крыши в Тучковской  библиотеке, ремонт зданий ДДШИ, МАУК РГО РКМ, Ремонт ДК Юбилейный</t>
  </si>
  <si>
    <t>Приобретение автомобиля в ЦКС</t>
  </si>
  <si>
    <t>Строительство центра культурного развития по адресу: Московская область, Рузский городской округ, д. Нестерово</t>
  </si>
  <si>
    <t>4. Основное мероприятие  +A449:M472</t>
  </si>
  <si>
    <t>Ремонт здания Тучковской поселковой  библиотеки по адресу: 143131, МО, Рузский городской округ, пос. Тучково, ул. Комсомольская, д.3</t>
  </si>
  <si>
    <t>выполнение работ по ремонту здания библиотеки</t>
  </si>
  <si>
    <t>В соответствии с техническим заданием и сметной документацией</t>
  </si>
  <si>
    <t>с 26 августа 2019 года                   по 25 сентября 2019 года</t>
  </si>
  <si>
    <t>2.</t>
  </si>
  <si>
    <t>МАУДО «ДОРОХОВСКАЯ ДЕТСКАЯ ШКОЛА ИСКУССТВ» Ремонт здания.
Адрес: Московская область, рузский район, п.Кожино, д.3, д.4</t>
  </si>
  <si>
    <t xml:space="preserve">работы по текущему ремонту помещений и входных групп: </t>
  </si>
  <si>
    <t>Объемы выполняемых работ – в соответствии с локальной сметой</t>
  </si>
  <si>
    <t xml:space="preserve">в течение 45 календарных дней от даты заключения договора. </t>
  </si>
  <si>
    <t>3.</t>
  </si>
  <si>
    <t>МАУК РГО «Рузский краеведческий музей»
МО, г.Руза, ул.Площадь партизан, д.14</t>
  </si>
  <si>
    <t>работы по текущему ремонту системы отопления музея</t>
  </si>
  <si>
    <t>В течении 30 календарных дней с момента заключения договора</t>
  </si>
  <si>
    <t>4.</t>
  </si>
  <si>
    <t xml:space="preserve">МБУК РГО МО"Централизованная клубная система" </t>
  </si>
  <si>
    <t>Работы по текушему ремонту системы отопления . Установка котла</t>
  </si>
  <si>
    <t>4,4</t>
  </si>
  <si>
    <t>4.3 Выполнение работ по корректировке проектно-сметной документации на строительство дома культуры в д. Нестерово</t>
  </si>
  <si>
    <t>4.2 Строительство центра культурного развития по адресу: Московская область, Рузский городской округ, д. Нестерово</t>
  </si>
  <si>
    <t>4.4 Выполнение работ по разработке проектно-сметной документации по проектированию волоконно-оптической линии связи для дома культуры в д. Нестерово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</si>
</sst>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_р_."/>
    <numFmt numFmtId="166" formatCode="#,##0_р_."/>
    <numFmt numFmtId="167" formatCode="#,##0.00\ _₽"/>
    <numFmt numFmtId="168" formatCode="#,##0.00\ &quot;₽&quot;"/>
    <numFmt numFmtId="169" formatCode="#,##0.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0" fontId="24" fillId="0" borderId="0" applyNumberForma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3">
    <xf numFmtId="0" fontId="0" fillId="0" borderId="0" xfId="0"/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Border="1"/>
    <xf numFmtId="0" fontId="9" fillId="0" borderId="0" xfId="0" applyFont="1" applyBorder="1" applyAlignment="1">
      <alignment horizontal="justify" vertical="center" wrapText="1"/>
    </xf>
    <xf numFmtId="2" fontId="9" fillId="0" borderId="0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5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164" fontId="0" fillId="0" borderId="0" xfId="0" applyNumberFormat="1"/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7" fillId="0" borderId="0" xfId="0" applyFont="1" applyBorder="1" applyAlignment="1">
      <alignment vertical="center" wrapText="1"/>
    </xf>
    <xf numFmtId="0" fontId="27" fillId="0" borderId="0" xfId="0" applyFont="1"/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vertical="center" wrapText="1"/>
    </xf>
    <xf numFmtId="164" fontId="17" fillId="2" borderId="1" xfId="0" applyNumberFormat="1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31" fillId="0" borderId="0" xfId="2" applyFont="1" applyFill="1"/>
    <xf numFmtId="0" fontId="31" fillId="4" borderId="0" xfId="2" applyFont="1" applyFill="1"/>
    <xf numFmtId="0" fontId="13" fillId="0" borderId="0" xfId="2" applyFont="1" applyFill="1"/>
    <xf numFmtId="0" fontId="32" fillId="0" borderId="0" xfId="2" applyFont="1" applyFill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vertical="center" wrapText="1"/>
    </xf>
    <xf numFmtId="164" fontId="10" fillId="5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164" fontId="9" fillId="5" borderId="1" xfId="0" applyNumberFormat="1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 applyProtection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37" fillId="0" borderId="1" xfId="2" applyFont="1" applyFill="1" applyBorder="1" applyAlignment="1">
      <alignment horizontal="center" vertical="top" wrapText="1"/>
    </xf>
    <xf numFmtId="0" fontId="37" fillId="0" borderId="1" xfId="2" applyNumberFormat="1" applyFont="1" applyFill="1" applyBorder="1" applyAlignment="1">
      <alignment horizontal="center" vertical="top" wrapText="1"/>
    </xf>
    <xf numFmtId="0" fontId="37" fillId="0" borderId="1" xfId="3" applyFont="1" applyFill="1" applyBorder="1" applyAlignment="1">
      <alignment vertical="top" wrapText="1"/>
    </xf>
    <xf numFmtId="0" fontId="37" fillId="0" borderId="1" xfId="3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vertical="top" wrapText="1"/>
    </xf>
    <xf numFmtId="0" fontId="37" fillId="4" borderId="1" xfId="0" applyFont="1" applyFill="1" applyBorder="1" applyAlignment="1">
      <alignment horizontal="center" vertical="top" wrapText="1"/>
    </xf>
    <xf numFmtId="0" fontId="37" fillId="4" borderId="1" xfId="0" applyFont="1" applyFill="1" applyBorder="1" applyAlignment="1">
      <alignment vertical="top" wrapText="1"/>
    </xf>
    <xf numFmtId="166" fontId="37" fillId="0" borderId="1" xfId="0" applyNumberFormat="1" applyFont="1" applyFill="1" applyBorder="1" applyAlignment="1">
      <alignment horizontal="center" vertical="top" wrapText="1"/>
    </xf>
    <xf numFmtId="3" fontId="37" fillId="0" borderId="1" xfId="0" applyNumberFormat="1" applyFont="1" applyFill="1" applyBorder="1" applyAlignment="1">
      <alignment horizontal="center" vertical="top" wrapText="1"/>
    </xf>
    <xf numFmtId="0" fontId="37" fillId="0" borderId="1" xfId="2" applyFont="1" applyFill="1" applyBorder="1" applyAlignment="1">
      <alignment vertical="top" wrapText="1"/>
    </xf>
    <xf numFmtId="0" fontId="37" fillId="0" borderId="1" xfId="0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vertical="top" wrapText="1"/>
    </xf>
    <xf numFmtId="0" fontId="37" fillId="4" borderId="1" xfId="2" applyFont="1" applyFill="1" applyBorder="1" applyAlignment="1">
      <alignment horizontal="center" vertical="top" wrapText="1"/>
    </xf>
    <xf numFmtId="3" fontId="37" fillId="4" borderId="1" xfId="2" applyNumberFormat="1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37" fillId="4" borderId="1" xfId="0" applyFont="1" applyFill="1" applyBorder="1" applyAlignment="1">
      <alignment horizontal="left" vertical="center" wrapText="1"/>
    </xf>
    <xf numFmtId="165" fontId="37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left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30" fillId="4" borderId="0" xfId="0" applyFont="1" applyFill="1" applyAlignment="1">
      <alignment vertical="center"/>
    </xf>
    <xf numFmtId="0" fontId="40" fillId="4" borderId="0" xfId="0" applyFont="1" applyFill="1"/>
    <xf numFmtId="0" fontId="41" fillId="0" borderId="0" xfId="0" applyFont="1"/>
    <xf numFmtId="0" fontId="30" fillId="0" borderId="0" xfId="0" applyFont="1" applyAlignment="1">
      <alignment vertical="center"/>
    </xf>
    <xf numFmtId="0" fontId="40" fillId="0" borderId="0" xfId="0" applyFont="1"/>
    <xf numFmtId="0" fontId="9" fillId="4" borderId="1" xfId="0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167" fontId="9" fillId="4" borderId="1" xfId="0" applyNumberFormat="1" applyFont="1" applyFill="1" applyBorder="1" applyAlignment="1">
      <alignment horizontal="center" vertical="center" wrapText="1"/>
    </xf>
    <xf numFmtId="167" fontId="11" fillId="4" borderId="1" xfId="0" applyNumberFormat="1" applyFont="1" applyFill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168" fontId="11" fillId="4" borderId="12" xfId="0" applyNumberFormat="1" applyFont="1" applyFill="1" applyBorder="1" applyAlignment="1">
      <alignment vertical="center" wrapText="1"/>
    </xf>
    <xf numFmtId="0" fontId="30" fillId="4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167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43" fillId="0" borderId="0" xfId="0" applyFont="1" applyAlignment="1">
      <alignment vertical="center" wrapText="1"/>
    </xf>
    <xf numFmtId="164" fontId="43" fillId="0" borderId="0" xfId="0" applyNumberFormat="1" applyFont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top" wrapText="1"/>
    </xf>
    <xf numFmtId="164" fontId="44" fillId="4" borderId="0" xfId="0" applyNumberFormat="1" applyFont="1" applyFill="1"/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164" fontId="9" fillId="4" borderId="10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vertical="top" wrapText="1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right" vertical="center"/>
    </xf>
    <xf numFmtId="0" fontId="30" fillId="4" borderId="1" xfId="0" applyFont="1" applyFill="1" applyBorder="1" applyAlignment="1">
      <alignment horizontal="left" vertical="center" wrapText="1"/>
    </xf>
    <xf numFmtId="164" fontId="35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4" fontId="48" fillId="4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9" fillId="4" borderId="1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41" fillId="0" borderId="0" xfId="0" applyFont="1" applyBorder="1" applyAlignment="1">
      <alignment wrapText="1"/>
    </xf>
    <xf numFmtId="0" fontId="41" fillId="0" borderId="13" xfId="0" applyFont="1" applyBorder="1" applyAlignment="1">
      <alignment wrapText="1"/>
    </xf>
    <xf numFmtId="0" fontId="12" fillId="4" borderId="0" xfId="0" applyFont="1" applyFill="1" applyBorder="1" applyAlignment="1">
      <alignment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wrapText="1"/>
    </xf>
    <xf numFmtId="0" fontId="9" fillId="0" borderId="0" xfId="0" applyFont="1" applyAlignment="1">
      <alignment wrapText="1"/>
    </xf>
    <xf numFmtId="164" fontId="11" fillId="4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4" borderId="1" xfId="0" applyFont="1" applyFill="1" applyBorder="1" applyAlignment="1">
      <alignment vertical="center" wrapText="1"/>
    </xf>
    <xf numFmtId="49" fontId="37" fillId="0" borderId="1" xfId="2" applyNumberFormat="1" applyFont="1" applyFill="1" applyBorder="1" applyAlignment="1">
      <alignment horizontal="center" vertical="top" wrapText="1"/>
    </xf>
    <xf numFmtId="0" fontId="13" fillId="4" borderId="1" xfId="2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left" vertical="top" wrapText="1"/>
    </xf>
    <xf numFmtId="0" fontId="37" fillId="4" borderId="1" xfId="0" applyFont="1" applyFill="1" applyBorder="1" applyAlignment="1">
      <alignment horizontal="left" vertical="top" wrapText="1"/>
    </xf>
    <xf numFmtId="49" fontId="49" fillId="4" borderId="1" xfId="2" applyNumberFormat="1" applyFont="1" applyFill="1" applyBorder="1" applyAlignment="1">
      <alignment horizontal="center" vertical="top"/>
    </xf>
    <xf numFmtId="0" fontId="38" fillId="0" borderId="1" xfId="2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center" wrapText="1"/>
    </xf>
    <xf numFmtId="49" fontId="37" fillId="4" borderId="1" xfId="2" applyNumberFormat="1" applyFont="1" applyFill="1" applyBorder="1" applyAlignment="1">
      <alignment horizontal="center" vertical="top" wrapText="1"/>
    </xf>
    <xf numFmtId="49" fontId="37" fillId="4" borderId="1" xfId="2" applyNumberFormat="1" applyFont="1" applyFill="1" applyBorder="1" applyAlignment="1">
      <alignment horizontal="center" vertical="top"/>
    </xf>
    <xf numFmtId="0" fontId="37" fillId="4" borderId="1" xfId="2" applyFont="1" applyFill="1" applyBorder="1" applyAlignment="1">
      <alignment horizontal="left" vertical="top" wrapText="1"/>
    </xf>
    <xf numFmtId="0" fontId="38" fillId="0" borderId="1" xfId="2" applyFont="1" applyFill="1" applyBorder="1" applyAlignment="1">
      <alignment horizontal="center" vertical="top" wrapText="1"/>
    </xf>
    <xf numFmtId="0" fontId="37" fillId="0" borderId="1" xfId="2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37" fillId="4" borderId="1" xfId="2" applyFont="1" applyFill="1" applyBorder="1" applyAlignment="1">
      <alignment horizontal="left" wrapText="1"/>
    </xf>
    <xf numFmtId="49" fontId="51" fillId="4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4" fontId="37" fillId="4" borderId="1" xfId="5" applyNumberFormat="1" applyFont="1" applyFill="1" applyBorder="1" applyAlignment="1">
      <alignment horizontal="center" vertical="top" wrapText="1"/>
    </xf>
    <xf numFmtId="0" fontId="37" fillId="4" borderId="1" xfId="5" applyFont="1" applyFill="1" applyBorder="1" applyAlignment="1">
      <alignment vertical="top" wrapText="1"/>
    </xf>
    <xf numFmtId="0" fontId="37" fillId="4" borderId="1" xfId="5" applyFont="1" applyFill="1" applyBorder="1" applyAlignment="1">
      <alignment horizontal="center" vertical="top" wrapText="1"/>
    </xf>
    <xf numFmtId="3" fontId="37" fillId="4" borderId="1" xfId="5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169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9" fillId="4" borderId="1" xfId="7" applyFont="1" applyFill="1" applyBorder="1" applyAlignment="1">
      <alignment vertical="center" wrapText="1"/>
    </xf>
    <xf numFmtId="0" fontId="9" fillId="4" borderId="4" xfId="0" applyFont="1" applyFill="1" applyBorder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37" fillId="4" borderId="1" xfId="7" applyFont="1" applyFill="1" applyBorder="1" applyAlignment="1">
      <alignment vertical="top" wrapText="1"/>
    </xf>
    <xf numFmtId="0" fontId="37" fillId="4" borderId="1" xfId="7" applyFont="1" applyFill="1" applyBorder="1" applyAlignment="1">
      <alignment horizontal="left" vertical="center" wrapText="1"/>
    </xf>
    <xf numFmtId="165" fontId="37" fillId="4" borderId="1" xfId="7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0" fillId="0" borderId="0" xfId="0"/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49" fontId="37" fillId="4" borderId="5" xfId="2" applyNumberFormat="1" applyFont="1" applyFill="1" applyBorder="1" applyAlignment="1">
      <alignment horizontal="center" vertical="top" wrapText="1"/>
    </xf>
    <xf numFmtId="0" fontId="50" fillId="8" borderId="16" xfId="0" applyFont="1" applyFill="1" applyBorder="1" applyAlignment="1" applyProtection="1">
      <alignment horizontal="left" vertical="top" wrapText="1"/>
    </xf>
    <xf numFmtId="0" fontId="50" fillId="8" borderId="1" xfId="0" applyFont="1" applyFill="1" applyBorder="1" applyAlignment="1" applyProtection="1">
      <alignment vertical="top" wrapText="1"/>
    </xf>
    <xf numFmtId="0" fontId="3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4" borderId="1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0" xfId="2" applyFont="1" applyFill="1" applyAlignment="1">
      <alignment horizontal="right"/>
    </xf>
    <xf numFmtId="0" fontId="38" fillId="4" borderId="2" xfId="2" applyFont="1" applyFill="1" applyBorder="1" applyAlignment="1">
      <alignment horizontal="center" vertical="top" wrapText="1"/>
    </xf>
    <xf numFmtId="0" fontId="38" fillId="4" borderId="3" xfId="2" applyFont="1" applyFill="1" applyBorder="1" applyAlignment="1">
      <alignment horizontal="center" vertical="top" wrapText="1"/>
    </xf>
    <xf numFmtId="0" fontId="38" fillId="4" borderId="4" xfId="2" applyFont="1" applyFill="1" applyBorder="1" applyAlignment="1">
      <alignment horizontal="center" vertical="top" wrapText="1"/>
    </xf>
    <xf numFmtId="0" fontId="38" fillId="0" borderId="2" xfId="2" applyFont="1" applyFill="1" applyBorder="1" applyAlignment="1">
      <alignment horizontal="center" vertical="top" wrapText="1"/>
    </xf>
    <xf numFmtId="0" fontId="38" fillId="0" borderId="3" xfId="2" applyFont="1" applyFill="1" applyBorder="1" applyAlignment="1">
      <alignment horizontal="center" vertical="top" wrapText="1"/>
    </xf>
    <xf numFmtId="0" fontId="38" fillId="0" borderId="4" xfId="2" applyFont="1" applyFill="1" applyBorder="1" applyAlignment="1">
      <alignment horizontal="center" vertical="top" wrapText="1"/>
    </xf>
    <xf numFmtId="0" fontId="30" fillId="0" borderId="0" xfId="2" applyFont="1" applyFill="1" applyBorder="1" applyAlignment="1">
      <alignment horizontal="center" vertical="top" wrapText="1"/>
    </xf>
    <xf numFmtId="0" fontId="30" fillId="0" borderId="8" xfId="2" applyFont="1" applyFill="1" applyBorder="1" applyAlignment="1">
      <alignment horizontal="center" vertical="top" wrapText="1"/>
    </xf>
    <xf numFmtId="0" fontId="37" fillId="0" borderId="1" xfId="2" applyFont="1" applyFill="1" applyBorder="1" applyAlignment="1">
      <alignment horizontal="center" vertical="top" wrapText="1"/>
    </xf>
    <xf numFmtId="0" fontId="38" fillId="4" borderId="1" xfId="2" applyFont="1" applyFill="1" applyBorder="1" applyAlignment="1">
      <alignment horizontal="center" vertical="top" wrapText="1"/>
    </xf>
    <xf numFmtId="0" fontId="37" fillId="0" borderId="10" xfId="2" applyFont="1" applyFill="1" applyBorder="1" applyAlignment="1">
      <alignment horizontal="center" vertical="top" wrapText="1"/>
    </xf>
    <xf numFmtId="0" fontId="37" fillId="0" borderId="12" xfId="2" applyFont="1" applyFill="1" applyBorder="1" applyAlignment="1">
      <alignment horizontal="center" vertical="top" wrapText="1"/>
    </xf>
    <xf numFmtId="0" fontId="37" fillId="0" borderId="2" xfId="2" applyFont="1" applyFill="1" applyBorder="1" applyAlignment="1">
      <alignment horizontal="center" vertical="top" wrapText="1"/>
    </xf>
    <xf numFmtId="0" fontId="37" fillId="0" borderId="3" xfId="2" applyFont="1" applyFill="1" applyBorder="1" applyAlignment="1">
      <alignment horizontal="center" vertical="top" wrapText="1"/>
    </xf>
    <xf numFmtId="0" fontId="37" fillId="0" borderId="4" xfId="2" applyFont="1" applyFill="1" applyBorder="1" applyAlignment="1">
      <alignment horizontal="center" vertical="top" wrapText="1"/>
    </xf>
    <xf numFmtId="0" fontId="38" fillId="0" borderId="1" xfId="2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11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3" fillId="4" borderId="0" xfId="2" applyFont="1" applyFill="1" applyAlignment="1">
      <alignment horizontal="right"/>
    </xf>
    <xf numFmtId="0" fontId="9" fillId="4" borderId="1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16" fontId="9" fillId="4" borderId="10" xfId="0" applyNumberFormat="1" applyFont="1" applyFill="1" applyBorder="1" applyAlignment="1">
      <alignment horizontal="center" vertical="center" wrapText="1"/>
    </xf>
    <xf numFmtId="17" fontId="9" fillId="4" borderId="10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2" fillId="6" borderId="2" xfId="0" applyFont="1" applyFill="1" applyBorder="1" applyAlignment="1">
      <alignment horizontal="center" vertical="center" wrapText="1"/>
    </xf>
    <xf numFmtId="0" fontId="52" fillId="6" borderId="3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16" fontId="9" fillId="4" borderId="11" xfId="0" applyNumberFormat="1" applyFont="1" applyFill="1" applyBorder="1" applyAlignment="1">
      <alignment horizontal="center" vertical="center" wrapText="1"/>
    </xf>
    <xf numFmtId="16" fontId="9" fillId="4" borderId="12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left" vertical="center" wrapText="1"/>
    </xf>
    <xf numFmtId="0" fontId="45" fillId="4" borderId="1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22" fillId="4" borderId="12" xfId="0" applyFont="1" applyFill="1" applyBorder="1" applyAlignment="1">
      <alignment horizontal="left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0" fontId="47" fillId="4" borderId="10" xfId="0" applyFont="1" applyFill="1" applyBorder="1" applyAlignment="1">
      <alignment horizontal="left" vertical="center" wrapText="1"/>
    </xf>
    <xf numFmtId="0" fontId="47" fillId="4" borderId="11" xfId="0" applyFont="1" applyFill="1" applyBorder="1" applyAlignment="1">
      <alignment horizontal="left" vertical="center" wrapText="1"/>
    </xf>
    <xf numFmtId="0" fontId="47" fillId="4" borderId="12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top" wrapText="1"/>
    </xf>
    <xf numFmtId="0" fontId="12" fillId="4" borderId="11" xfId="0" applyFont="1" applyFill="1" applyBorder="1" applyAlignment="1">
      <alignment horizontal="left" vertical="top" wrapText="1"/>
    </xf>
    <xf numFmtId="0" fontId="12" fillId="4" borderId="12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right" vertical="center"/>
    </xf>
    <xf numFmtId="0" fontId="21" fillId="6" borderId="5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14" fontId="9" fillId="4" borderId="11" xfId="0" applyNumberFormat="1" applyFont="1" applyFill="1" applyBorder="1" applyAlignment="1">
      <alignment horizontal="center" vertical="center" wrapText="1"/>
    </xf>
    <xf numFmtId="14" fontId="9" fillId="4" borderId="12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9" fillId="6" borderId="10" xfId="0" applyFont="1" applyFill="1" applyBorder="1" applyAlignment="1">
      <alignment horizontal="left" vertical="top" wrapText="1"/>
    </xf>
    <xf numFmtId="0" fontId="9" fillId="6" borderId="11" xfId="0" applyFont="1" applyFill="1" applyBorder="1" applyAlignment="1">
      <alignment horizontal="left" vertical="top" wrapText="1"/>
    </xf>
    <xf numFmtId="0" fontId="9" fillId="6" borderId="12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top" wrapText="1"/>
    </xf>
    <xf numFmtId="0" fontId="25" fillId="4" borderId="11" xfId="0" applyFont="1" applyFill="1" applyBorder="1" applyAlignment="1">
      <alignment horizontal="center" vertical="top" wrapText="1"/>
    </xf>
    <xf numFmtId="0" fontId="25" fillId="4" borderId="12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49" fontId="9" fillId="6" borderId="10" xfId="0" applyNumberFormat="1" applyFont="1" applyFill="1" applyBorder="1" applyAlignment="1">
      <alignment horizontal="center" vertical="center" wrapText="1"/>
    </xf>
    <xf numFmtId="49" fontId="9" fillId="6" borderId="11" xfId="0" applyNumberFormat="1" applyFont="1" applyFill="1" applyBorder="1" applyAlignment="1">
      <alignment horizontal="center"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left" vertical="top" wrapText="1"/>
    </xf>
    <xf numFmtId="0" fontId="13" fillId="4" borderId="11" xfId="0" applyFont="1" applyFill="1" applyBorder="1" applyAlignment="1">
      <alignment horizontal="left" vertical="top" wrapText="1"/>
    </xf>
    <xf numFmtId="0" fontId="13" fillId="4" borderId="12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4" borderId="10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left" vertical="top" wrapText="1"/>
    </xf>
    <xf numFmtId="49" fontId="9" fillId="0" borderId="11" xfId="0" applyNumberFormat="1" applyFont="1" applyBorder="1" applyAlignment="1">
      <alignment horizontal="left" vertical="top" wrapText="1"/>
    </xf>
    <xf numFmtId="49" fontId="9" fillId="0" borderId="12" xfId="0" applyNumberFormat="1" applyFont="1" applyBorder="1" applyAlignment="1">
      <alignment horizontal="left" vertical="top" wrapText="1"/>
    </xf>
    <xf numFmtId="0" fontId="23" fillId="0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vertical="center" wrapText="1"/>
    </xf>
    <xf numFmtId="0" fontId="16" fillId="4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0" fontId="37" fillId="0" borderId="10" xfId="1" applyFont="1" applyBorder="1" applyAlignment="1">
      <alignment horizontal="center" vertical="center" wrapText="1"/>
    </xf>
    <xf numFmtId="0" fontId="39" fillId="0" borderId="12" xfId="1" applyFont="1" applyBorder="1" applyAlignment="1">
      <alignment horizontal="center" vertical="center" wrapText="1"/>
    </xf>
    <xf numFmtId="0" fontId="35" fillId="4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169" fontId="9" fillId="7" borderId="1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55" fillId="0" borderId="0" xfId="0" applyFont="1"/>
    <xf numFmtId="2" fontId="11" fillId="0" borderId="1" xfId="0" applyNumberFormat="1" applyFont="1" applyBorder="1" applyAlignment="1">
      <alignment horizontal="center" vertical="center" wrapText="1"/>
    </xf>
  </cellXfs>
  <cellStyles count="13">
    <cellStyle name="Гиперссылка" xfId="1" builtinId="8"/>
    <cellStyle name="Обычный" xfId="0" builtinId="0"/>
    <cellStyle name="Обычный 2" xfId="7" xr:uid="{00000000-0005-0000-0000-000002000000}"/>
    <cellStyle name="Обычный 3" xfId="2" xr:uid="{00000000-0005-0000-0000-000003000000}"/>
    <cellStyle name="Обычный 3 2" xfId="5" xr:uid="{00000000-0005-0000-0000-000004000000}"/>
    <cellStyle name="Обычный 3 2 2" xfId="11" xr:uid="{99F1CFF4-2940-4A59-B245-0868BA1E30E9}"/>
    <cellStyle name="Обычный 3 3" xfId="8" xr:uid="{3D6FCC72-17A3-401F-9772-C5D808C1D29C}"/>
    <cellStyle name="Обычный 5" xfId="3" xr:uid="{00000000-0005-0000-0000-000005000000}"/>
    <cellStyle name="Обычный 5 2" xfId="6" xr:uid="{00000000-0005-0000-0000-000006000000}"/>
    <cellStyle name="Обычный 5 2 2" xfId="12" xr:uid="{012C483F-D0D8-43DE-BB07-192DA1B10D4B}"/>
    <cellStyle name="Обычный 5 3" xfId="9" xr:uid="{8487F102-CC68-4543-999A-D6F6B27D4EA9}"/>
    <cellStyle name="Обычный 6" xfId="4" xr:uid="{00000000-0005-0000-0000-000007000000}"/>
    <cellStyle name="Обычный 6 2" xfId="10" xr:uid="{BCB68AB3-D1A7-49BE-9919-960D1CB04DE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375285</xdr:colOff>
      <xdr:row>10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072110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221075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216479</xdr:colOff>
      <xdr:row>13</xdr:row>
      <xdr:rowOff>60614</xdr:rowOff>
    </xdr:from>
    <xdr:ext cx="4329544" cy="11256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 flipH="1">
          <a:off x="15439161" y="5264728"/>
          <a:ext cx="4329544" cy="1125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329045</xdr:colOff>
      <xdr:row>29</xdr:row>
      <xdr:rowOff>0</xdr:rowOff>
    </xdr:from>
    <xdr:ext cx="14720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551727" y="10642023"/>
          <a:ext cx="14720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401263</xdr:colOff>
      <xdr:row>29</xdr:row>
      <xdr:rowOff>69272</xdr:rowOff>
    </xdr:from>
    <xdr:ext cx="144260" cy="6061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259763" y="10711295"/>
          <a:ext cx="144260" cy="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40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3072110" y="1206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10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3072110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375285</xdr:colOff>
      <xdr:row>31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390078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375285</xdr:colOff>
      <xdr:row>31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472946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375285</xdr:colOff>
      <xdr:row>31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555813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375286</xdr:colOff>
      <xdr:row>29</xdr:row>
      <xdr:rowOff>51953</xdr:rowOff>
    </xdr:from>
    <xdr:ext cx="83646" cy="45719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 flipV="1">
          <a:off x="11233786" y="10693976"/>
          <a:ext cx="83646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32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3072110" y="844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32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3072110" y="844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31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233785" y="781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31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233785" y="781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375285</xdr:colOff>
      <xdr:row>30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12065058" y="10425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375285</xdr:colOff>
      <xdr:row>30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2896330" y="10425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375285</xdr:colOff>
      <xdr:row>30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4558876" y="10425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1233785" y="10425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11233785" y="10425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375285</xdr:colOff>
      <xdr:row>30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2065058" y="106247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375285</xdr:colOff>
      <xdr:row>30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2896330" y="106247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30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1233785" y="106247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30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1233785" y="106247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375285</xdr:colOff>
      <xdr:row>31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2065058" y="102437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375285</xdr:colOff>
      <xdr:row>31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2896330" y="102437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31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233785" y="102437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31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233785" y="102437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12337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12337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12337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12337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39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123378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37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12337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375285</xdr:colOff>
      <xdr:row>37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6246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375285</xdr:colOff>
      <xdr:row>37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89113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375285</xdr:colOff>
      <xdr:row>37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45484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12337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12337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12337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12337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112337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1123378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opLeftCell="A29" zoomScaleNormal="100" workbookViewId="0">
      <selection sqref="A1:G39"/>
    </sheetView>
  </sheetViews>
  <sheetFormatPr defaultRowHeight="15" x14ac:dyDescent="0.25"/>
  <cols>
    <col min="1" max="1" width="34.140625" customWidth="1"/>
    <col min="2" max="2" width="15.85546875" customWidth="1"/>
    <col min="3" max="3" width="16.28515625" customWidth="1"/>
    <col min="4" max="4" width="17" customWidth="1"/>
    <col min="5" max="5" width="16.7109375" customWidth="1"/>
    <col min="6" max="6" width="17.140625" customWidth="1"/>
    <col min="7" max="7" width="17.42578125" customWidth="1"/>
  </cols>
  <sheetData>
    <row r="1" spans="1:7" ht="15.75" x14ac:dyDescent="0.25">
      <c r="A1" s="9" t="s">
        <v>33</v>
      </c>
      <c r="G1" s="204" t="s">
        <v>386</v>
      </c>
    </row>
    <row r="2" spans="1:7" ht="15.75" x14ac:dyDescent="0.25">
      <c r="A2" s="9"/>
      <c r="G2" s="204" t="s">
        <v>387</v>
      </c>
    </row>
    <row r="3" spans="1:7" ht="15.75" x14ac:dyDescent="0.25">
      <c r="A3" s="9"/>
      <c r="G3" s="204" t="s">
        <v>388</v>
      </c>
    </row>
    <row r="4" spans="1:7" ht="15.75" x14ac:dyDescent="0.25">
      <c r="A4" s="10"/>
      <c r="G4" s="203"/>
    </row>
    <row r="5" spans="1:7" ht="15.75" x14ac:dyDescent="0.25">
      <c r="A5" s="9"/>
      <c r="G5" s="204" t="s">
        <v>389</v>
      </c>
    </row>
    <row r="6" spans="1:7" ht="15.75" x14ac:dyDescent="0.25">
      <c r="A6" s="9"/>
      <c r="G6" s="205"/>
    </row>
    <row r="7" spans="1:7" ht="15.75" x14ac:dyDescent="0.25">
      <c r="A7" s="9"/>
    </row>
    <row r="8" spans="1:7" ht="76.5" customHeight="1" x14ac:dyDescent="0.25">
      <c r="A8" s="297"/>
      <c r="B8" s="297"/>
      <c r="C8" s="297"/>
      <c r="D8" s="297"/>
      <c r="E8" s="297"/>
      <c r="F8" s="297"/>
      <c r="G8" s="297"/>
    </row>
    <row r="9" spans="1:7" ht="157.5" customHeight="1" x14ac:dyDescent="0.25">
      <c r="A9" s="11"/>
    </row>
    <row r="10" spans="1:7" ht="129.75" customHeight="1" x14ac:dyDescent="0.25">
      <c r="A10" s="9"/>
    </row>
    <row r="11" spans="1:7" ht="15.75" x14ac:dyDescent="0.25">
      <c r="A11" s="9"/>
    </row>
    <row r="12" spans="1:7" ht="25.5" x14ac:dyDescent="0.25">
      <c r="A12" s="298" t="s">
        <v>190</v>
      </c>
      <c r="B12" s="298"/>
      <c r="C12" s="298"/>
      <c r="D12" s="298"/>
      <c r="E12" s="298"/>
      <c r="F12" s="298"/>
      <c r="G12" s="298"/>
    </row>
    <row r="13" spans="1:7" ht="48.75" customHeight="1" x14ac:dyDescent="0.25">
      <c r="A13" s="299" t="s">
        <v>94</v>
      </c>
      <c r="B13" s="299"/>
      <c r="C13" s="299"/>
      <c r="D13" s="299"/>
      <c r="E13" s="299"/>
      <c r="F13" s="299"/>
      <c r="G13" s="299"/>
    </row>
    <row r="14" spans="1:7" ht="80.25" customHeight="1" x14ac:dyDescent="0.25">
      <c r="A14" s="299" t="s">
        <v>95</v>
      </c>
      <c r="B14" s="299"/>
      <c r="C14" s="299"/>
      <c r="D14" s="299"/>
      <c r="E14" s="299"/>
      <c r="F14" s="299"/>
      <c r="G14" s="299"/>
    </row>
    <row r="15" spans="1:7" ht="86.25" hidden="1" customHeight="1" x14ac:dyDescent="0.25"/>
    <row r="16" spans="1:7" ht="41.25" customHeight="1" x14ac:dyDescent="0.25">
      <c r="A16" s="12"/>
    </row>
    <row r="17" spans="1:7" ht="357" customHeight="1" x14ac:dyDescent="0.25">
      <c r="A17" s="9"/>
    </row>
    <row r="18" spans="1:7" ht="200.25" customHeight="1" x14ac:dyDescent="0.25">
      <c r="A18" s="9"/>
    </row>
    <row r="19" spans="1:7" ht="15.75" x14ac:dyDescent="0.25">
      <c r="A19" s="300" t="s">
        <v>34</v>
      </c>
      <c r="B19" s="300"/>
      <c r="C19" s="300"/>
      <c r="D19" s="300"/>
      <c r="E19" s="300"/>
      <c r="F19" s="300"/>
      <c r="G19" s="300"/>
    </row>
    <row r="20" spans="1:7" ht="15.75" x14ac:dyDescent="0.25">
      <c r="A20" s="300" t="s">
        <v>96</v>
      </c>
      <c r="B20" s="300"/>
      <c r="C20" s="300"/>
      <c r="D20" s="300"/>
      <c r="E20" s="300"/>
      <c r="F20" s="300"/>
      <c r="G20" s="300"/>
    </row>
    <row r="21" spans="1:7" ht="15.75" x14ac:dyDescent="0.25">
      <c r="A21" s="300" t="s">
        <v>97</v>
      </c>
      <c r="B21" s="300"/>
      <c r="C21" s="300"/>
      <c r="D21" s="300"/>
      <c r="E21" s="300"/>
      <c r="F21" s="300"/>
      <c r="G21" s="300"/>
    </row>
    <row r="22" spans="1:7" ht="15.75" x14ac:dyDescent="0.25">
      <c r="A22" s="13"/>
    </row>
    <row r="23" spans="1:7" ht="63" customHeight="1" x14ac:dyDescent="0.25">
      <c r="A23" s="107" t="s">
        <v>35</v>
      </c>
      <c r="B23" s="301" t="s">
        <v>566</v>
      </c>
      <c r="C23" s="301"/>
      <c r="D23" s="301"/>
      <c r="E23" s="301"/>
      <c r="F23" s="301"/>
      <c r="G23" s="301"/>
    </row>
    <row r="24" spans="1:7" ht="76.5" customHeight="1" x14ac:dyDescent="0.25">
      <c r="A24" s="107" t="s">
        <v>36</v>
      </c>
      <c r="B24" s="302" t="s">
        <v>98</v>
      </c>
      <c r="C24" s="302"/>
      <c r="D24" s="302"/>
      <c r="E24" s="302"/>
      <c r="F24" s="302"/>
      <c r="G24" s="302"/>
    </row>
    <row r="25" spans="1:7" ht="48.75" customHeight="1" x14ac:dyDescent="0.25">
      <c r="A25" s="107" t="s">
        <v>37</v>
      </c>
      <c r="B25" s="301" t="s">
        <v>176</v>
      </c>
      <c r="C25" s="301"/>
      <c r="D25" s="301"/>
      <c r="E25" s="301"/>
      <c r="F25" s="301"/>
      <c r="G25" s="301"/>
    </row>
    <row r="26" spans="1:7" ht="39.75" customHeight="1" x14ac:dyDescent="0.25">
      <c r="A26" s="303" t="s">
        <v>38</v>
      </c>
      <c r="B26" s="302" t="s">
        <v>99</v>
      </c>
      <c r="C26" s="302"/>
      <c r="D26" s="302"/>
      <c r="E26" s="302"/>
      <c r="F26" s="302"/>
      <c r="G26" s="302"/>
    </row>
    <row r="27" spans="1:7" ht="39" customHeight="1" x14ac:dyDescent="0.25">
      <c r="A27" s="303"/>
      <c r="B27" s="302" t="s">
        <v>100</v>
      </c>
      <c r="C27" s="302"/>
      <c r="D27" s="302"/>
      <c r="E27" s="302"/>
      <c r="F27" s="302"/>
      <c r="G27" s="302"/>
    </row>
    <row r="28" spans="1:7" ht="36" customHeight="1" x14ac:dyDescent="0.25">
      <c r="A28" s="303"/>
      <c r="B28" s="302" t="s">
        <v>101</v>
      </c>
      <c r="C28" s="302"/>
      <c r="D28" s="302"/>
      <c r="E28" s="302"/>
      <c r="F28" s="302"/>
      <c r="G28" s="302"/>
    </row>
    <row r="29" spans="1:7" ht="57" customHeight="1" x14ac:dyDescent="0.25">
      <c r="A29" s="303"/>
      <c r="B29" s="302" t="s">
        <v>102</v>
      </c>
      <c r="C29" s="302"/>
      <c r="D29" s="302"/>
      <c r="E29" s="302"/>
      <c r="F29" s="302"/>
      <c r="G29" s="302"/>
    </row>
    <row r="30" spans="1:7" ht="44.25" customHeight="1" x14ac:dyDescent="0.25">
      <c r="A30" s="303"/>
      <c r="B30" s="302" t="s">
        <v>191</v>
      </c>
      <c r="C30" s="302"/>
      <c r="D30" s="302"/>
      <c r="E30" s="302"/>
      <c r="F30" s="302"/>
      <c r="G30" s="302"/>
    </row>
    <row r="31" spans="1:7" ht="40.5" customHeight="1" x14ac:dyDescent="0.25">
      <c r="A31" s="303"/>
      <c r="B31" s="302" t="s">
        <v>103</v>
      </c>
      <c r="C31" s="302"/>
      <c r="D31" s="302"/>
      <c r="E31" s="302"/>
      <c r="F31" s="302"/>
      <c r="G31" s="302"/>
    </row>
    <row r="32" spans="1:7" ht="40.5" customHeight="1" x14ac:dyDescent="0.25">
      <c r="A32" s="303"/>
      <c r="B32" s="304" t="s">
        <v>193</v>
      </c>
      <c r="C32" s="305"/>
      <c r="D32" s="305"/>
      <c r="E32" s="305"/>
      <c r="F32" s="305"/>
      <c r="G32" s="306"/>
    </row>
    <row r="33" spans="1:7" ht="21" customHeight="1" x14ac:dyDescent="0.25">
      <c r="A33" s="303"/>
      <c r="B33" s="302" t="s">
        <v>194</v>
      </c>
      <c r="C33" s="302"/>
      <c r="D33" s="302"/>
      <c r="E33" s="302"/>
      <c r="F33" s="302"/>
      <c r="G33" s="302"/>
    </row>
    <row r="34" spans="1:7" ht="67.5" customHeight="1" x14ac:dyDescent="0.25">
      <c r="A34" s="25" t="s">
        <v>92</v>
      </c>
      <c r="B34" s="296" t="s">
        <v>39</v>
      </c>
      <c r="C34" s="296"/>
      <c r="D34" s="296"/>
      <c r="E34" s="296"/>
      <c r="F34" s="296"/>
      <c r="G34" s="296"/>
    </row>
    <row r="35" spans="1:7" ht="21.75" customHeight="1" x14ac:dyDescent="0.25">
      <c r="A35" s="25"/>
      <c r="B35" s="26" t="s">
        <v>40</v>
      </c>
      <c r="C35" s="26" t="s">
        <v>5</v>
      </c>
      <c r="D35" s="26" t="s">
        <v>6</v>
      </c>
      <c r="E35" s="26" t="s">
        <v>104</v>
      </c>
      <c r="F35" s="26" t="s">
        <v>105</v>
      </c>
      <c r="G35" s="26" t="s">
        <v>106</v>
      </c>
    </row>
    <row r="36" spans="1:7" ht="49.5" customHeight="1" x14ac:dyDescent="0.25">
      <c r="A36" s="108" t="s">
        <v>132</v>
      </c>
      <c r="B36" s="74">
        <f>C36+D36+E36+F36+G36</f>
        <v>1255418.3999999999</v>
      </c>
      <c r="C36" s="74">
        <v>236815.5</v>
      </c>
      <c r="D36" s="74">
        <v>253009.9</v>
      </c>
      <c r="E36" s="74">
        <v>248726.1</v>
      </c>
      <c r="F36" s="74">
        <v>253651.1</v>
      </c>
      <c r="G36" s="74">
        <v>263215.8</v>
      </c>
    </row>
    <row r="37" spans="1:7" ht="39" customHeight="1" x14ac:dyDescent="0.25">
      <c r="A37" s="108" t="s">
        <v>14</v>
      </c>
      <c r="B37" s="74">
        <f>C37+D37+E37+F37+G37</f>
        <v>243544.7</v>
      </c>
      <c r="C37" s="74">
        <v>40609.199999999997</v>
      </c>
      <c r="D37" s="74">
        <v>3342.5</v>
      </c>
      <c r="E37" s="74">
        <v>67595</v>
      </c>
      <c r="F37" s="74">
        <v>131998</v>
      </c>
      <c r="G37" s="74">
        <v>0</v>
      </c>
    </row>
    <row r="38" spans="1:7" ht="38.25" customHeight="1" x14ac:dyDescent="0.25">
      <c r="A38" s="108" t="s">
        <v>15</v>
      </c>
      <c r="B38" s="74">
        <f>C38+D38+E38+F38+G38</f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</row>
    <row r="39" spans="1:7" ht="37.5" customHeight="1" x14ac:dyDescent="0.25">
      <c r="A39" s="108" t="s">
        <v>167</v>
      </c>
      <c r="B39" s="38">
        <f t="shared" ref="B39:G39" si="0">B36+B37+B38</f>
        <v>1498963.0999999999</v>
      </c>
      <c r="C39" s="38">
        <f t="shared" si="0"/>
        <v>277424.7</v>
      </c>
      <c r="D39" s="38">
        <f t="shared" si="0"/>
        <v>256352.4</v>
      </c>
      <c r="E39" s="38">
        <f t="shared" si="0"/>
        <v>316321.09999999998</v>
      </c>
      <c r="F39" s="38">
        <f t="shared" si="0"/>
        <v>385649.1</v>
      </c>
      <c r="G39" s="38">
        <f t="shared" si="0"/>
        <v>263215.8</v>
      </c>
    </row>
    <row r="40" spans="1:7" ht="18.75" x14ac:dyDescent="0.3">
      <c r="A40" s="24"/>
      <c r="B40" s="24"/>
      <c r="C40" s="24"/>
      <c r="D40" s="24"/>
      <c r="E40" s="24"/>
      <c r="F40" s="24"/>
      <c r="G40" s="24"/>
    </row>
    <row r="41" spans="1:7" ht="18.75" x14ac:dyDescent="0.3">
      <c r="A41" s="24"/>
      <c r="B41" s="24"/>
      <c r="C41" s="24"/>
      <c r="D41" s="24"/>
      <c r="E41" s="24"/>
      <c r="F41" s="24"/>
      <c r="G41" s="24"/>
    </row>
    <row r="42" spans="1:7" ht="18.75" x14ac:dyDescent="0.3">
      <c r="A42" s="24"/>
      <c r="B42" s="24"/>
      <c r="C42" s="24"/>
      <c r="D42" s="24"/>
      <c r="E42" s="24"/>
      <c r="F42" s="24"/>
      <c r="G42" s="24"/>
    </row>
    <row r="43" spans="1:7" ht="18.75" x14ac:dyDescent="0.3">
      <c r="A43" s="24"/>
      <c r="B43" s="24"/>
      <c r="C43" s="24"/>
      <c r="D43" s="24"/>
      <c r="E43" s="24"/>
      <c r="F43" s="24"/>
      <c r="G43" s="24"/>
    </row>
  </sheetData>
  <mergeCells count="20">
    <mergeCell ref="B31:G31"/>
    <mergeCell ref="B33:G33"/>
    <mergeCell ref="A21:G21"/>
    <mergeCell ref="B32:G32"/>
    <mergeCell ref="B34:G34"/>
    <mergeCell ref="A8:G8"/>
    <mergeCell ref="A12:G12"/>
    <mergeCell ref="A13:G13"/>
    <mergeCell ref="A14:G14"/>
    <mergeCell ref="A19:G19"/>
    <mergeCell ref="A20:G20"/>
    <mergeCell ref="B23:G23"/>
    <mergeCell ref="B24:G24"/>
    <mergeCell ref="B25:G25"/>
    <mergeCell ref="A26:A33"/>
    <mergeCell ref="B26:G26"/>
    <mergeCell ref="B27:G27"/>
    <mergeCell ref="B28:G28"/>
    <mergeCell ref="B29:G29"/>
    <mergeCell ref="B30:G30"/>
  </mergeCells>
  <pageMargins left="0.98425196850393704" right="0.51181102362204722" top="0.35433070866141736" bottom="0.55118110236220474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9"/>
  <sheetViews>
    <sheetView zoomScale="120" zoomScaleNormal="120" workbookViewId="0">
      <selection sqref="A1:K17"/>
    </sheetView>
  </sheetViews>
  <sheetFormatPr defaultRowHeight="15" x14ac:dyDescent="0.25"/>
  <cols>
    <col min="1" max="1" width="23" customWidth="1"/>
    <col min="2" max="2" width="17.140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307" t="s">
        <v>32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x14ac:dyDescent="0.25">
      <c r="A2" s="307" t="s">
        <v>179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x14ac:dyDescent="0.25">
      <c r="A3" s="307" t="s">
        <v>171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1" x14ac:dyDescent="0.25">
      <c r="A4" s="4"/>
    </row>
    <row r="5" spans="1:11" x14ac:dyDescent="0.25">
      <c r="A5" s="328" t="s">
        <v>204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</row>
    <row r="6" spans="1:11" x14ac:dyDescent="0.25">
      <c r="A6" s="346" t="s">
        <v>30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</row>
    <row r="7" spans="1:11" x14ac:dyDescent="0.25">
      <c r="A7" s="328" t="s">
        <v>120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</row>
    <row r="8" spans="1:11" x14ac:dyDescent="0.25">
      <c r="A8" s="3"/>
    </row>
    <row r="9" spans="1:11" ht="38.25" customHeight="1" x14ac:dyDescent="0.25">
      <c r="A9" s="335" t="s">
        <v>9</v>
      </c>
      <c r="B9" s="335"/>
      <c r="C9" s="324" t="s">
        <v>98</v>
      </c>
      <c r="D9" s="324"/>
      <c r="E9" s="324"/>
      <c r="F9" s="324"/>
      <c r="G9" s="324"/>
      <c r="H9" s="324"/>
      <c r="I9" s="324"/>
      <c r="J9" s="324"/>
      <c r="K9" s="325"/>
    </row>
    <row r="10" spans="1:11" ht="27.75" customHeight="1" x14ac:dyDescent="0.25">
      <c r="A10" s="339" t="s">
        <v>18</v>
      </c>
      <c r="B10" s="340"/>
      <c r="C10" s="330" t="s">
        <v>16</v>
      </c>
      <c r="D10" s="330" t="s">
        <v>17</v>
      </c>
      <c r="E10" s="330"/>
      <c r="F10" s="329" t="s">
        <v>10</v>
      </c>
      <c r="G10" s="329"/>
      <c r="H10" s="329"/>
      <c r="I10" s="329"/>
      <c r="J10" s="329"/>
      <c r="K10" s="329"/>
    </row>
    <row r="11" spans="1:11" ht="31.5" hidden="1" customHeight="1" x14ac:dyDescent="0.25">
      <c r="A11" s="341"/>
      <c r="B11" s="342"/>
      <c r="C11" s="330"/>
      <c r="D11" s="330"/>
      <c r="E11" s="330"/>
      <c r="F11" s="329"/>
      <c r="G11" s="329"/>
      <c r="H11" s="329"/>
      <c r="I11" s="329"/>
      <c r="J11" s="329"/>
      <c r="K11" s="329"/>
    </row>
    <row r="12" spans="1:11" ht="27.75" customHeight="1" x14ac:dyDescent="0.25">
      <c r="A12" s="341"/>
      <c r="B12" s="342"/>
      <c r="C12" s="330"/>
      <c r="D12" s="330"/>
      <c r="E12" s="330"/>
      <c r="F12" s="57" t="s">
        <v>5</v>
      </c>
      <c r="G12" s="57" t="s">
        <v>6</v>
      </c>
      <c r="H12" s="57" t="s">
        <v>104</v>
      </c>
      <c r="I12" s="57" t="s">
        <v>105</v>
      </c>
      <c r="J12" s="58" t="s">
        <v>124</v>
      </c>
      <c r="K12" s="58" t="s">
        <v>11</v>
      </c>
    </row>
    <row r="13" spans="1:11" ht="20.25" customHeight="1" x14ac:dyDescent="0.25">
      <c r="A13" s="341"/>
      <c r="B13" s="342"/>
      <c r="C13" s="330" t="s">
        <v>118</v>
      </c>
      <c r="D13" s="335" t="s">
        <v>12</v>
      </c>
      <c r="E13" s="335"/>
      <c r="F13" s="111">
        <f t="shared" ref="F13:K13" si="0">F15+F16+F17</f>
        <v>7279.4</v>
      </c>
      <c r="G13" s="111">
        <f t="shared" si="0"/>
        <v>7052.4</v>
      </c>
      <c r="H13" s="111">
        <f t="shared" si="0"/>
        <v>6393.6</v>
      </c>
      <c r="I13" s="111">
        <f t="shared" si="0"/>
        <v>7314.9</v>
      </c>
      <c r="J13" s="111">
        <f t="shared" si="0"/>
        <v>7319.6</v>
      </c>
      <c r="K13" s="111">
        <f t="shared" si="0"/>
        <v>35359.9</v>
      </c>
    </row>
    <row r="14" spans="1:11" ht="16.5" customHeight="1" x14ac:dyDescent="0.25">
      <c r="A14" s="341"/>
      <c r="B14" s="342"/>
      <c r="C14" s="330"/>
      <c r="D14" s="335" t="s">
        <v>13</v>
      </c>
      <c r="E14" s="335"/>
      <c r="F14" s="111"/>
      <c r="G14" s="111"/>
      <c r="H14" s="111"/>
      <c r="I14" s="111"/>
      <c r="J14" s="111"/>
      <c r="K14" s="111"/>
    </row>
    <row r="15" spans="1:11" ht="51" customHeight="1" x14ac:dyDescent="0.25">
      <c r="A15" s="341"/>
      <c r="B15" s="342"/>
      <c r="C15" s="330"/>
      <c r="D15" s="335" t="s">
        <v>130</v>
      </c>
      <c r="E15" s="335"/>
      <c r="F15" s="111">
        <v>7279.4</v>
      </c>
      <c r="G15" s="526">
        <v>7052.4</v>
      </c>
      <c r="H15" s="526">
        <v>6393.6</v>
      </c>
      <c r="I15" s="526">
        <v>7314.9</v>
      </c>
      <c r="J15" s="526">
        <v>7319.6</v>
      </c>
      <c r="K15" s="111">
        <f>F15+G15+H15+I15+J15</f>
        <v>35359.9</v>
      </c>
    </row>
    <row r="16" spans="1:11" ht="29.25" customHeight="1" x14ac:dyDescent="0.25">
      <c r="A16" s="341"/>
      <c r="B16" s="342"/>
      <c r="C16" s="330"/>
      <c r="D16" s="335" t="s">
        <v>14</v>
      </c>
      <c r="E16" s="335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103">
        <f>F16+G16+H16+I16+J16</f>
        <v>0</v>
      </c>
    </row>
    <row r="17" spans="1:11" ht="38.25" customHeight="1" x14ac:dyDescent="0.25">
      <c r="A17" s="343"/>
      <c r="B17" s="344"/>
      <c r="C17" s="330"/>
      <c r="D17" s="335" t="s">
        <v>15</v>
      </c>
      <c r="E17" s="335"/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103">
        <f>F17+G17+H17+I17+J17</f>
        <v>0</v>
      </c>
    </row>
    <row r="18" spans="1:11" x14ac:dyDescent="0.25">
      <c r="A18" s="2"/>
      <c r="B18" s="2"/>
      <c r="C18" s="2"/>
      <c r="D18" s="2"/>
      <c r="E18" s="2"/>
      <c r="F18" s="2"/>
      <c r="G18" s="23"/>
      <c r="H18" s="23"/>
      <c r="I18" s="2"/>
      <c r="J18" s="2"/>
      <c r="K18" s="2"/>
    </row>
    <row r="19" spans="1:11" x14ac:dyDescent="0.25">
      <c r="A19" s="4"/>
    </row>
  </sheetData>
  <mergeCells count="18">
    <mergeCell ref="A1:K1"/>
    <mergeCell ref="A2:K2"/>
    <mergeCell ref="A3:K3"/>
    <mergeCell ref="A5:K5"/>
    <mergeCell ref="A6:K6"/>
    <mergeCell ref="A7:K7"/>
    <mergeCell ref="A9:B9"/>
    <mergeCell ref="C9:K9"/>
    <mergeCell ref="A10:B17"/>
    <mergeCell ref="C10:C12"/>
    <mergeCell ref="D10:E12"/>
    <mergeCell ref="F10:K11"/>
    <mergeCell ref="C13:C17"/>
    <mergeCell ref="D13:E13"/>
    <mergeCell ref="D14:E14"/>
    <mergeCell ref="D15:E15"/>
    <mergeCell ref="D16:E16"/>
    <mergeCell ref="D17:E17"/>
  </mergeCells>
  <pageMargins left="0.51181102362204722" right="0.51181102362204722" top="0.74803149606299213" bottom="0.74803149606299213" header="0.31496062992125984" footer="0.31496062992125984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95"/>
  <sheetViews>
    <sheetView topLeftCell="A730" zoomScale="120" zoomScaleNormal="120" zoomScaleSheetLayoutView="110" workbookViewId="0">
      <selection sqref="A1:F752"/>
    </sheetView>
  </sheetViews>
  <sheetFormatPr defaultRowHeight="15" x14ac:dyDescent="0.25"/>
  <cols>
    <col min="1" max="1" width="33.28515625" customWidth="1"/>
    <col min="2" max="2" width="18.85546875" customWidth="1"/>
    <col min="3" max="3" width="42.85546875" customWidth="1"/>
    <col min="4" max="5" width="15.42578125" customWidth="1"/>
    <col min="6" max="6" width="24.42578125" customWidth="1"/>
    <col min="11" max="11" width="4" customWidth="1"/>
    <col min="12" max="12" width="2.42578125" hidden="1" customWidth="1"/>
    <col min="13" max="13" width="1.5703125" customWidth="1"/>
  </cols>
  <sheetData>
    <row r="1" spans="1:6" x14ac:dyDescent="0.25">
      <c r="A1" s="416" t="s">
        <v>41</v>
      </c>
      <c r="B1" s="416"/>
      <c r="C1" s="416"/>
      <c r="D1" s="416"/>
      <c r="E1" s="416"/>
      <c r="F1" s="416"/>
    </row>
    <row r="2" spans="1:6" x14ac:dyDescent="0.25">
      <c r="A2" s="417" t="s">
        <v>179</v>
      </c>
      <c r="B2" s="417"/>
      <c r="C2" s="417"/>
      <c r="D2" s="417"/>
      <c r="E2" s="417"/>
      <c r="F2" s="417"/>
    </row>
    <row r="3" spans="1:6" x14ac:dyDescent="0.25">
      <c r="A3" s="416" t="s">
        <v>171</v>
      </c>
      <c r="B3" s="416"/>
      <c r="C3" s="416"/>
      <c r="D3" s="416"/>
      <c r="E3" s="416"/>
      <c r="F3" s="416"/>
    </row>
    <row r="4" spans="1:6" x14ac:dyDescent="0.25">
      <c r="A4" s="180"/>
      <c r="B4" s="100"/>
      <c r="C4" s="100"/>
      <c r="D4" s="100"/>
      <c r="E4" s="100"/>
      <c r="F4" s="100"/>
    </row>
    <row r="5" spans="1:6" ht="15.75" x14ac:dyDescent="0.25">
      <c r="A5" s="181"/>
      <c r="B5" s="100"/>
      <c r="C5" s="100"/>
      <c r="D5" s="100"/>
      <c r="E5" s="100"/>
      <c r="F5" s="100"/>
    </row>
    <row r="6" spans="1:6" x14ac:dyDescent="0.25">
      <c r="A6" s="337" t="s">
        <v>42</v>
      </c>
      <c r="B6" s="337"/>
      <c r="C6" s="337"/>
      <c r="D6" s="337"/>
      <c r="E6" s="337"/>
      <c r="F6" s="337"/>
    </row>
    <row r="7" spans="1:6" ht="8.25" customHeight="1" x14ac:dyDescent="0.25">
      <c r="A7" s="252"/>
      <c r="B7" s="100"/>
      <c r="C7" s="100"/>
      <c r="D7" s="100"/>
      <c r="E7" s="100"/>
      <c r="F7" s="100"/>
    </row>
    <row r="8" spans="1:6" ht="95.25" customHeight="1" x14ac:dyDescent="0.25">
      <c r="A8" s="251" t="s">
        <v>46</v>
      </c>
      <c r="B8" s="182" t="s">
        <v>17</v>
      </c>
      <c r="C8" s="183" t="s">
        <v>537</v>
      </c>
      <c r="D8" s="329" t="s">
        <v>47</v>
      </c>
      <c r="E8" s="329"/>
      <c r="F8" s="253" t="s">
        <v>43</v>
      </c>
    </row>
    <row r="9" spans="1:6" x14ac:dyDescent="0.25">
      <c r="A9" s="251">
        <v>1</v>
      </c>
      <c r="B9" s="182"/>
      <c r="C9" s="183">
        <v>3</v>
      </c>
      <c r="D9" s="329">
        <v>4</v>
      </c>
      <c r="E9" s="329"/>
      <c r="F9" s="251">
        <v>5</v>
      </c>
    </row>
    <row r="10" spans="1:6" ht="29.25" customHeight="1" x14ac:dyDescent="0.25">
      <c r="A10" s="389" t="s">
        <v>100</v>
      </c>
      <c r="B10" s="390"/>
      <c r="C10" s="390"/>
      <c r="D10" s="390"/>
      <c r="E10" s="390"/>
      <c r="F10" s="391"/>
    </row>
    <row r="11" spans="1:6" ht="22.5" customHeight="1" x14ac:dyDescent="0.25">
      <c r="A11" s="384" t="s">
        <v>165</v>
      </c>
      <c r="B11" s="395"/>
      <c r="C11" s="395"/>
      <c r="D11" s="395"/>
      <c r="E11" s="395"/>
      <c r="F11" s="396"/>
    </row>
    <row r="12" spans="1:6" ht="21" customHeight="1" x14ac:dyDescent="0.25">
      <c r="A12" s="374" t="s">
        <v>297</v>
      </c>
      <c r="B12" s="329" t="s">
        <v>132</v>
      </c>
      <c r="C12" s="377" t="s">
        <v>598</v>
      </c>
      <c r="D12" s="110" t="s">
        <v>91</v>
      </c>
      <c r="E12" s="98">
        <f>E13+E14+E15+E16+E17</f>
        <v>81223.8</v>
      </c>
      <c r="F12" s="364"/>
    </row>
    <row r="13" spans="1:6" x14ac:dyDescent="0.25">
      <c r="A13" s="375"/>
      <c r="B13" s="329"/>
      <c r="C13" s="378"/>
      <c r="D13" s="283" t="s">
        <v>5</v>
      </c>
      <c r="E13" s="111">
        <f>'Прил 11 Перечень мероприятий'!G38</f>
        <v>18193.099999999999</v>
      </c>
      <c r="F13" s="364"/>
    </row>
    <row r="14" spans="1:6" x14ac:dyDescent="0.25">
      <c r="A14" s="375"/>
      <c r="B14" s="329"/>
      <c r="C14" s="378"/>
      <c r="D14" s="283" t="s">
        <v>90</v>
      </c>
      <c r="E14" s="111">
        <f>'Прил 11 Перечень мероприятий'!H38</f>
        <v>16212.999999999998</v>
      </c>
      <c r="F14" s="364"/>
    </row>
    <row r="15" spans="1:6" x14ac:dyDescent="0.25">
      <c r="A15" s="375"/>
      <c r="B15" s="329"/>
      <c r="C15" s="378"/>
      <c r="D15" s="283" t="s">
        <v>135</v>
      </c>
      <c r="E15" s="111">
        <f>'Прил 11 Перечень мероприятий'!I38</f>
        <v>15534.5</v>
      </c>
      <c r="F15" s="364"/>
    </row>
    <row r="16" spans="1:6" x14ac:dyDescent="0.25">
      <c r="A16" s="375"/>
      <c r="B16" s="329"/>
      <c r="C16" s="378"/>
      <c r="D16" s="283" t="s">
        <v>152</v>
      </c>
      <c r="E16" s="111">
        <f>'Прил 11 Перечень мероприятий'!J38</f>
        <v>15534.5</v>
      </c>
      <c r="F16" s="364"/>
    </row>
    <row r="17" spans="1:6" ht="15.75" customHeight="1" x14ac:dyDescent="0.25">
      <c r="A17" s="375"/>
      <c r="B17" s="329"/>
      <c r="C17" s="378"/>
      <c r="D17" s="283" t="s">
        <v>153</v>
      </c>
      <c r="E17" s="111">
        <f>'Прил 11 Перечень мероприятий'!K38</f>
        <v>15748.7</v>
      </c>
      <c r="F17" s="364"/>
    </row>
    <row r="18" spans="1:6" ht="15" customHeight="1" x14ac:dyDescent="0.25">
      <c r="A18" s="374" t="s">
        <v>323</v>
      </c>
      <c r="B18" s="329" t="s">
        <v>132</v>
      </c>
      <c r="C18" s="397" t="s">
        <v>467</v>
      </c>
      <c r="D18" s="110" t="s">
        <v>91</v>
      </c>
      <c r="E18" s="99">
        <f>E19+E20+E21+E22+E23</f>
        <v>160.4</v>
      </c>
      <c r="F18" s="374"/>
    </row>
    <row r="19" spans="1:6" x14ac:dyDescent="0.25">
      <c r="A19" s="375"/>
      <c r="B19" s="329"/>
      <c r="C19" s="383"/>
      <c r="D19" s="283" t="s">
        <v>5</v>
      </c>
      <c r="E19" s="111">
        <f>'Прил 11 Перечень мероприятий'!G42</f>
        <v>160.4</v>
      </c>
      <c r="F19" s="375"/>
    </row>
    <row r="20" spans="1:6" x14ac:dyDescent="0.25">
      <c r="A20" s="375"/>
      <c r="B20" s="329"/>
      <c r="C20" s="383"/>
      <c r="D20" s="283" t="s">
        <v>90</v>
      </c>
      <c r="E20" s="111">
        <f>'Прил 11 Перечень мероприятий'!H42</f>
        <v>0</v>
      </c>
      <c r="F20" s="375"/>
    </row>
    <row r="21" spans="1:6" x14ac:dyDescent="0.25">
      <c r="A21" s="375"/>
      <c r="B21" s="329"/>
      <c r="C21" s="383"/>
      <c r="D21" s="283" t="s">
        <v>135</v>
      </c>
      <c r="E21" s="111">
        <f>'Прил 11 Перечень мероприятий'!I42</f>
        <v>0</v>
      </c>
      <c r="F21" s="375"/>
    </row>
    <row r="22" spans="1:6" x14ac:dyDescent="0.25">
      <c r="A22" s="375"/>
      <c r="B22" s="329"/>
      <c r="C22" s="383"/>
      <c r="D22" s="283" t="s">
        <v>152</v>
      </c>
      <c r="E22" s="111">
        <f>'Прил 11 Перечень мероприятий'!J42</f>
        <v>0</v>
      </c>
      <c r="F22" s="375"/>
    </row>
    <row r="23" spans="1:6" x14ac:dyDescent="0.25">
      <c r="A23" s="375"/>
      <c r="B23" s="329"/>
      <c r="C23" s="383"/>
      <c r="D23" s="283" t="s">
        <v>153</v>
      </c>
      <c r="E23" s="111">
        <f>'Прил 11 Перечень мероприятий'!K42</f>
        <v>0</v>
      </c>
      <c r="F23" s="376"/>
    </row>
    <row r="24" spans="1:6" ht="15" customHeight="1" x14ac:dyDescent="0.25">
      <c r="A24" s="375"/>
      <c r="B24" s="329" t="s">
        <v>14</v>
      </c>
      <c r="C24" s="397" t="s">
        <v>468</v>
      </c>
      <c r="D24" s="110" t="s">
        <v>91</v>
      </c>
      <c r="E24" s="99">
        <f>E25+E26+E27+E28+E29</f>
        <v>1254.7</v>
      </c>
      <c r="F24" s="374"/>
    </row>
    <row r="25" spans="1:6" x14ac:dyDescent="0.25">
      <c r="A25" s="375"/>
      <c r="B25" s="329"/>
      <c r="C25" s="383"/>
      <c r="D25" s="283" t="s">
        <v>5</v>
      </c>
      <c r="E25" s="111">
        <f>'Прил 11 Перечень мероприятий'!G43</f>
        <v>1254.7</v>
      </c>
      <c r="F25" s="375"/>
    </row>
    <row r="26" spans="1:6" x14ac:dyDescent="0.25">
      <c r="A26" s="375"/>
      <c r="B26" s="329"/>
      <c r="C26" s="383"/>
      <c r="D26" s="283" t="s">
        <v>90</v>
      </c>
      <c r="E26" s="111">
        <f>'Прил 11 Перечень мероприятий'!H43</f>
        <v>0</v>
      </c>
      <c r="F26" s="375"/>
    </row>
    <row r="27" spans="1:6" x14ac:dyDescent="0.25">
      <c r="A27" s="375"/>
      <c r="B27" s="329"/>
      <c r="C27" s="383"/>
      <c r="D27" s="283" t="s">
        <v>135</v>
      </c>
      <c r="E27" s="111">
        <f>'Прил 11 Перечень мероприятий'!I43</f>
        <v>0</v>
      </c>
      <c r="F27" s="375"/>
    </row>
    <row r="28" spans="1:6" x14ac:dyDescent="0.25">
      <c r="A28" s="375"/>
      <c r="B28" s="329"/>
      <c r="C28" s="383"/>
      <c r="D28" s="283" t="s">
        <v>152</v>
      </c>
      <c r="E28" s="111">
        <f>'Прил 11 Перечень мероприятий'!J42</f>
        <v>0</v>
      </c>
      <c r="F28" s="375"/>
    </row>
    <row r="29" spans="1:6" x14ac:dyDescent="0.25">
      <c r="A29" s="376"/>
      <c r="B29" s="329"/>
      <c r="C29" s="383"/>
      <c r="D29" s="283" t="s">
        <v>153</v>
      </c>
      <c r="E29" s="111">
        <f>'Прил 11 Перечень мероприятий'!K43</f>
        <v>0</v>
      </c>
      <c r="F29" s="376"/>
    </row>
    <row r="30" spans="1:6" ht="15" customHeight="1" x14ac:dyDescent="0.25">
      <c r="A30" s="374" t="s">
        <v>300</v>
      </c>
      <c r="B30" s="329" t="s">
        <v>132</v>
      </c>
      <c r="C30" s="405" t="s">
        <v>579</v>
      </c>
      <c r="D30" s="110" t="s">
        <v>91</v>
      </c>
      <c r="E30" s="99">
        <f>E31+E32+E33+E34+E35</f>
        <v>1328.6</v>
      </c>
      <c r="F30" s="374"/>
    </row>
    <row r="31" spans="1:6" x14ac:dyDescent="0.25">
      <c r="A31" s="375"/>
      <c r="B31" s="329"/>
      <c r="C31" s="405"/>
      <c r="D31" s="283" t="s">
        <v>5</v>
      </c>
      <c r="E31" s="111">
        <f>'Прил 11 Перечень мероприятий'!G46</f>
        <v>340</v>
      </c>
      <c r="F31" s="375"/>
    </row>
    <row r="32" spans="1:6" x14ac:dyDescent="0.25">
      <c r="A32" s="375"/>
      <c r="B32" s="329"/>
      <c r="C32" s="405"/>
      <c r="D32" s="283" t="s">
        <v>90</v>
      </c>
      <c r="E32" s="111">
        <f>'Прил 11 Перечень мероприятий'!H46</f>
        <v>232.5</v>
      </c>
      <c r="F32" s="375"/>
    </row>
    <row r="33" spans="1:6" x14ac:dyDescent="0.25">
      <c r="A33" s="375"/>
      <c r="B33" s="329"/>
      <c r="C33" s="405"/>
      <c r="D33" s="283" t="s">
        <v>135</v>
      </c>
      <c r="E33" s="111">
        <f>'Прил 11 Перечень мероприятий'!I46</f>
        <v>245.5</v>
      </c>
      <c r="F33" s="375"/>
    </row>
    <row r="34" spans="1:6" x14ac:dyDescent="0.25">
      <c r="A34" s="375"/>
      <c r="B34" s="329"/>
      <c r="C34" s="405"/>
      <c r="D34" s="283" t="s">
        <v>152</v>
      </c>
      <c r="E34" s="111">
        <f>'Прил 11 Перечень мероприятий'!J46</f>
        <v>255.3</v>
      </c>
      <c r="F34" s="375"/>
    </row>
    <row r="35" spans="1:6" x14ac:dyDescent="0.25">
      <c r="A35" s="376"/>
      <c r="B35" s="329"/>
      <c r="C35" s="405"/>
      <c r="D35" s="283" t="s">
        <v>153</v>
      </c>
      <c r="E35" s="111">
        <f>'Прил 11 Перечень мероприятий'!K46</f>
        <v>255.3</v>
      </c>
      <c r="F35" s="376"/>
    </row>
    <row r="36" spans="1:6" x14ac:dyDescent="0.25">
      <c r="A36" s="374" t="s">
        <v>304</v>
      </c>
      <c r="B36" s="329" t="s">
        <v>132</v>
      </c>
      <c r="C36" s="404" t="s">
        <v>586</v>
      </c>
      <c r="D36" s="110" t="s">
        <v>91</v>
      </c>
      <c r="E36" s="99">
        <f>E37+E38+E39+E40+E41</f>
        <v>938.20000000000016</v>
      </c>
      <c r="F36" s="374"/>
    </row>
    <row r="37" spans="1:6" x14ac:dyDescent="0.25">
      <c r="A37" s="375"/>
      <c r="B37" s="329"/>
      <c r="C37" s="405"/>
      <c r="D37" s="283" t="s">
        <v>5</v>
      </c>
      <c r="E37" s="111">
        <f>'Прил 11 Перечень мероприятий'!G50</f>
        <v>654.4</v>
      </c>
      <c r="F37" s="375"/>
    </row>
    <row r="38" spans="1:6" x14ac:dyDescent="0.25">
      <c r="A38" s="375"/>
      <c r="B38" s="329"/>
      <c r="C38" s="405"/>
      <c r="D38" s="283" t="s">
        <v>90</v>
      </c>
      <c r="E38" s="111">
        <f>'Прил 11 Перечень мероприятий'!H50</f>
        <v>80.7</v>
      </c>
      <c r="F38" s="375"/>
    </row>
    <row r="39" spans="1:6" x14ac:dyDescent="0.25">
      <c r="A39" s="375"/>
      <c r="B39" s="329"/>
      <c r="C39" s="405"/>
      <c r="D39" s="283" t="s">
        <v>135</v>
      </c>
      <c r="E39" s="111">
        <f>'Прил 11 Перечень мероприятий'!I50</f>
        <v>67.7</v>
      </c>
      <c r="F39" s="375"/>
    </row>
    <row r="40" spans="1:6" x14ac:dyDescent="0.25">
      <c r="A40" s="375"/>
      <c r="B40" s="329"/>
      <c r="C40" s="405"/>
      <c r="D40" s="283" t="s">
        <v>152</v>
      </c>
      <c r="E40" s="111">
        <f>'Прил 11 Перечень мероприятий'!J50</f>
        <v>67.7</v>
      </c>
      <c r="F40" s="375"/>
    </row>
    <row r="41" spans="1:6" x14ac:dyDescent="0.25">
      <c r="A41" s="376"/>
      <c r="B41" s="329"/>
      <c r="C41" s="405"/>
      <c r="D41" s="283" t="s">
        <v>153</v>
      </c>
      <c r="E41" s="111">
        <f>'Прил 11 Перечень мероприятий'!K50</f>
        <v>67.7</v>
      </c>
      <c r="F41" s="376"/>
    </row>
    <row r="42" spans="1:6" ht="15" customHeight="1" x14ac:dyDescent="0.25">
      <c r="A42" s="374" t="s">
        <v>308</v>
      </c>
      <c r="B42" s="329" t="s">
        <v>132</v>
      </c>
      <c r="C42" s="404" t="s">
        <v>469</v>
      </c>
      <c r="D42" s="110" t="s">
        <v>91</v>
      </c>
      <c r="E42" s="99">
        <f>E43+E44+E45+E46+E47</f>
        <v>156.5</v>
      </c>
      <c r="F42" s="374"/>
    </row>
    <row r="43" spans="1:6" x14ac:dyDescent="0.25">
      <c r="A43" s="375"/>
      <c r="B43" s="329"/>
      <c r="C43" s="405"/>
      <c r="D43" s="283" t="s">
        <v>5</v>
      </c>
      <c r="E43" s="111">
        <f>'Прил 11 Перечень мероприятий'!G54</f>
        <v>26</v>
      </c>
      <c r="F43" s="375"/>
    </row>
    <row r="44" spans="1:6" x14ac:dyDescent="0.25">
      <c r="A44" s="375"/>
      <c r="B44" s="329"/>
      <c r="C44" s="405"/>
      <c r="D44" s="283" t="s">
        <v>90</v>
      </c>
      <c r="E44" s="111">
        <f>'Прил 11 Перечень мероприятий'!H54</f>
        <v>43.5</v>
      </c>
      <c r="F44" s="375"/>
    </row>
    <row r="45" spans="1:6" x14ac:dyDescent="0.25">
      <c r="A45" s="375"/>
      <c r="B45" s="329"/>
      <c r="C45" s="405"/>
      <c r="D45" s="283" t="s">
        <v>135</v>
      </c>
      <c r="E45" s="111">
        <f>'Прил 11 Перечень мероприятий'!I54</f>
        <v>0</v>
      </c>
      <c r="F45" s="375"/>
    </row>
    <row r="46" spans="1:6" x14ac:dyDescent="0.25">
      <c r="A46" s="375"/>
      <c r="B46" s="329"/>
      <c r="C46" s="405"/>
      <c r="D46" s="283" t="s">
        <v>152</v>
      </c>
      <c r="E46" s="111">
        <f>'Прил 11 Перечень мероприятий'!J54</f>
        <v>43.5</v>
      </c>
      <c r="F46" s="375"/>
    </row>
    <row r="47" spans="1:6" x14ac:dyDescent="0.25">
      <c r="A47" s="376"/>
      <c r="B47" s="329"/>
      <c r="C47" s="405"/>
      <c r="D47" s="283" t="s">
        <v>153</v>
      </c>
      <c r="E47" s="111">
        <f>'Прил 11 Перечень мероприятий'!K54</f>
        <v>43.5</v>
      </c>
      <c r="F47" s="376"/>
    </row>
    <row r="48" spans="1:6" ht="23.25" customHeight="1" x14ac:dyDescent="0.25">
      <c r="A48" s="374" t="s">
        <v>361</v>
      </c>
      <c r="B48" s="329" t="s">
        <v>132</v>
      </c>
      <c r="C48" s="404" t="s">
        <v>584</v>
      </c>
      <c r="D48" s="110" t="s">
        <v>91</v>
      </c>
      <c r="E48" s="99">
        <f>E49+E50+E51+E52+E53</f>
        <v>1088.0999999999999</v>
      </c>
      <c r="F48" s="374"/>
    </row>
    <row r="49" spans="1:6" ht="23.25" customHeight="1" x14ac:dyDescent="0.25">
      <c r="A49" s="375"/>
      <c r="B49" s="329"/>
      <c r="C49" s="405"/>
      <c r="D49" s="283" t="s">
        <v>5</v>
      </c>
      <c r="E49" s="111">
        <f>'Прил 11 Перечень мероприятий'!G58</f>
        <v>135.19999999999999</v>
      </c>
      <c r="F49" s="375"/>
    </row>
    <row r="50" spans="1:6" ht="23.25" customHeight="1" x14ac:dyDescent="0.25">
      <c r="A50" s="375"/>
      <c r="B50" s="329"/>
      <c r="C50" s="405"/>
      <c r="D50" s="283" t="s">
        <v>90</v>
      </c>
      <c r="E50" s="111">
        <f>'Прил 11 Перечень мероприятий'!H58</f>
        <v>193.60000000000002</v>
      </c>
      <c r="F50" s="375"/>
    </row>
    <row r="51" spans="1:6" ht="23.25" customHeight="1" x14ac:dyDescent="0.25">
      <c r="A51" s="375"/>
      <c r="B51" s="329"/>
      <c r="C51" s="405"/>
      <c r="D51" s="283" t="s">
        <v>135</v>
      </c>
      <c r="E51" s="111">
        <f>'Прил 11 Перечень мероприятий'!I58</f>
        <v>253.1</v>
      </c>
      <c r="F51" s="375"/>
    </row>
    <row r="52" spans="1:6" ht="23.25" customHeight="1" x14ac:dyDescent="0.25">
      <c r="A52" s="375"/>
      <c r="B52" s="329"/>
      <c r="C52" s="405"/>
      <c r="D52" s="283" t="s">
        <v>152</v>
      </c>
      <c r="E52" s="111">
        <f>'Прил 11 Перечень мероприятий'!J58</f>
        <v>253.1</v>
      </c>
      <c r="F52" s="375"/>
    </row>
    <row r="53" spans="1:6" ht="23.25" customHeight="1" x14ac:dyDescent="0.25">
      <c r="A53" s="376"/>
      <c r="B53" s="329"/>
      <c r="C53" s="405"/>
      <c r="D53" s="283" t="s">
        <v>153</v>
      </c>
      <c r="E53" s="111">
        <f>'Прил 11 Перечень мероприятий'!K58</f>
        <v>253.1</v>
      </c>
      <c r="F53" s="376"/>
    </row>
    <row r="54" spans="1:6" ht="15" customHeight="1" x14ac:dyDescent="0.25">
      <c r="A54" s="374" t="s">
        <v>284</v>
      </c>
      <c r="B54" s="329" t="s">
        <v>132</v>
      </c>
      <c r="C54" s="404" t="s">
        <v>470</v>
      </c>
      <c r="D54" s="110" t="s">
        <v>91</v>
      </c>
      <c r="E54" s="99">
        <f>E55+E56+E57+E58+E59</f>
        <v>230.6</v>
      </c>
      <c r="F54" s="374"/>
    </row>
    <row r="55" spans="1:6" x14ac:dyDescent="0.25">
      <c r="A55" s="375"/>
      <c r="B55" s="329"/>
      <c r="C55" s="405"/>
      <c r="D55" s="283" t="s">
        <v>5</v>
      </c>
      <c r="E55" s="111">
        <f>'Прил 11 Перечень мероприятий'!G62</f>
        <v>40.700000000000003</v>
      </c>
      <c r="F55" s="375"/>
    </row>
    <row r="56" spans="1:6" x14ac:dyDescent="0.25">
      <c r="A56" s="375"/>
      <c r="B56" s="329"/>
      <c r="C56" s="405"/>
      <c r="D56" s="283" t="s">
        <v>90</v>
      </c>
      <c r="E56" s="111">
        <f>'Прил 11 Перечень мероприятий'!H62</f>
        <v>39.9</v>
      </c>
      <c r="F56" s="375"/>
    </row>
    <row r="57" spans="1:6" x14ac:dyDescent="0.25">
      <c r="A57" s="375"/>
      <c r="B57" s="329"/>
      <c r="C57" s="405"/>
      <c r="D57" s="283" t="s">
        <v>135</v>
      </c>
      <c r="E57" s="111">
        <f>'Прил 11 Перечень мероприятий'!I62</f>
        <v>50</v>
      </c>
      <c r="F57" s="375"/>
    </row>
    <row r="58" spans="1:6" x14ac:dyDescent="0.25">
      <c r="A58" s="375"/>
      <c r="B58" s="329"/>
      <c r="C58" s="405"/>
      <c r="D58" s="283" t="s">
        <v>152</v>
      </c>
      <c r="E58" s="111">
        <f>'Прил 11 Перечень мероприятий'!J62</f>
        <v>50</v>
      </c>
      <c r="F58" s="375"/>
    </row>
    <row r="59" spans="1:6" x14ac:dyDescent="0.25">
      <c r="A59" s="376"/>
      <c r="B59" s="329"/>
      <c r="C59" s="405"/>
      <c r="D59" s="283" t="s">
        <v>153</v>
      </c>
      <c r="E59" s="111">
        <f>'Прил 11 Перечень мероприятий'!K62</f>
        <v>50</v>
      </c>
      <c r="F59" s="376"/>
    </row>
    <row r="60" spans="1:6" ht="15" customHeight="1" x14ac:dyDescent="0.25">
      <c r="A60" s="374" t="s">
        <v>285</v>
      </c>
      <c r="B60" s="329" t="s">
        <v>132</v>
      </c>
      <c r="C60" s="404" t="s">
        <v>513</v>
      </c>
      <c r="D60" s="110" t="s">
        <v>91</v>
      </c>
      <c r="E60" s="99">
        <f>E61+E62+E63+E64+E65</f>
        <v>239.79999999999998</v>
      </c>
      <c r="F60" s="374"/>
    </row>
    <row r="61" spans="1:6" x14ac:dyDescent="0.25">
      <c r="A61" s="375"/>
      <c r="B61" s="329"/>
      <c r="C61" s="405"/>
      <c r="D61" s="283" t="s">
        <v>5</v>
      </c>
      <c r="E61" s="111">
        <f>'Прил 11 Перечень мероприятий'!G66</f>
        <v>62</v>
      </c>
      <c r="F61" s="375"/>
    </row>
    <row r="62" spans="1:6" x14ac:dyDescent="0.25">
      <c r="A62" s="375"/>
      <c r="B62" s="329"/>
      <c r="C62" s="405"/>
      <c r="D62" s="283" t="s">
        <v>90</v>
      </c>
      <c r="E62" s="111">
        <f>'Прил 11 Перечень мероприятий'!H66</f>
        <v>99.5</v>
      </c>
      <c r="F62" s="375"/>
    </row>
    <row r="63" spans="1:6" x14ac:dyDescent="0.25">
      <c r="A63" s="375"/>
      <c r="B63" s="329"/>
      <c r="C63" s="405"/>
      <c r="D63" s="283" t="s">
        <v>135</v>
      </c>
      <c r="E63" s="111">
        <f>'Прил 11 Перечень мероприятий'!I66</f>
        <v>26.1</v>
      </c>
      <c r="F63" s="375"/>
    </row>
    <row r="64" spans="1:6" x14ac:dyDescent="0.25">
      <c r="A64" s="375"/>
      <c r="B64" s="329"/>
      <c r="C64" s="405"/>
      <c r="D64" s="283" t="s">
        <v>152</v>
      </c>
      <c r="E64" s="111">
        <f>'Прил 11 Перечень мероприятий'!J66</f>
        <v>26.1</v>
      </c>
      <c r="F64" s="375"/>
    </row>
    <row r="65" spans="1:6" x14ac:dyDescent="0.25">
      <c r="A65" s="376"/>
      <c r="B65" s="329"/>
      <c r="C65" s="405"/>
      <c r="D65" s="283" t="s">
        <v>153</v>
      </c>
      <c r="E65" s="111">
        <f>'Прил 11 Перечень мероприятий'!K66</f>
        <v>26.1</v>
      </c>
      <c r="F65" s="376"/>
    </row>
    <row r="66" spans="1:6" ht="15" customHeight="1" x14ac:dyDescent="0.25">
      <c r="A66" s="374" t="s">
        <v>286</v>
      </c>
      <c r="B66" s="329" t="s">
        <v>132</v>
      </c>
      <c r="C66" s="404" t="s">
        <v>472</v>
      </c>
      <c r="D66" s="110" t="s">
        <v>91</v>
      </c>
      <c r="E66" s="99">
        <f>E67+E68+E69+E70+E71</f>
        <v>240</v>
      </c>
      <c r="F66" s="374"/>
    </row>
    <row r="67" spans="1:6" x14ac:dyDescent="0.25">
      <c r="A67" s="375"/>
      <c r="B67" s="329"/>
      <c r="C67" s="405"/>
      <c r="D67" s="283" t="s">
        <v>5</v>
      </c>
      <c r="E67" s="111">
        <f>'Прил 11 Перечень мероприятий'!G70</f>
        <v>55</v>
      </c>
      <c r="F67" s="375"/>
    </row>
    <row r="68" spans="1:6" x14ac:dyDescent="0.25">
      <c r="A68" s="375"/>
      <c r="B68" s="329"/>
      <c r="C68" s="405"/>
      <c r="D68" s="283" t="s">
        <v>90</v>
      </c>
      <c r="E68" s="111">
        <f>'Прил 11 Перечень мероприятий'!H70</f>
        <v>20</v>
      </c>
      <c r="F68" s="375"/>
    </row>
    <row r="69" spans="1:6" x14ac:dyDescent="0.25">
      <c r="A69" s="375"/>
      <c r="B69" s="329"/>
      <c r="C69" s="405"/>
      <c r="D69" s="283" t="s">
        <v>135</v>
      </c>
      <c r="E69" s="111">
        <f>'Прил 11 Перечень мероприятий'!I70</f>
        <v>55</v>
      </c>
      <c r="F69" s="375"/>
    </row>
    <row r="70" spans="1:6" x14ac:dyDescent="0.25">
      <c r="A70" s="375"/>
      <c r="B70" s="329"/>
      <c r="C70" s="405"/>
      <c r="D70" s="283" t="s">
        <v>152</v>
      </c>
      <c r="E70" s="111">
        <f>'Прил 11 Перечень мероприятий'!J70</f>
        <v>55</v>
      </c>
      <c r="F70" s="375"/>
    </row>
    <row r="71" spans="1:6" x14ac:dyDescent="0.25">
      <c r="A71" s="376"/>
      <c r="B71" s="329"/>
      <c r="C71" s="405"/>
      <c r="D71" s="283" t="s">
        <v>153</v>
      </c>
      <c r="E71" s="111">
        <f>'Прил 11 Перечень мероприятий'!K70</f>
        <v>55</v>
      </c>
      <c r="F71" s="376"/>
    </row>
    <row r="72" spans="1:6" ht="15" customHeight="1" x14ac:dyDescent="0.25">
      <c r="A72" s="374" t="s">
        <v>287</v>
      </c>
      <c r="B72" s="329" t="s">
        <v>132</v>
      </c>
      <c r="C72" s="404" t="s">
        <v>578</v>
      </c>
      <c r="D72" s="110" t="s">
        <v>91</v>
      </c>
      <c r="E72" s="99">
        <f>E73+E74+E75+E76+E77</f>
        <v>967.19999999999993</v>
      </c>
      <c r="F72" s="374"/>
    </row>
    <row r="73" spans="1:6" x14ac:dyDescent="0.25">
      <c r="A73" s="375"/>
      <c r="B73" s="329"/>
      <c r="C73" s="405"/>
      <c r="D73" s="283" t="s">
        <v>5</v>
      </c>
      <c r="E73" s="111">
        <f>'Прил 11 Перечень мероприятий'!G74</f>
        <v>696.4</v>
      </c>
      <c r="F73" s="375"/>
    </row>
    <row r="74" spans="1:6" x14ac:dyDescent="0.25">
      <c r="A74" s="375"/>
      <c r="B74" s="329"/>
      <c r="C74" s="405"/>
      <c r="D74" s="283" t="s">
        <v>90</v>
      </c>
      <c r="E74" s="111">
        <f>'Прил 11 Перечень мероприятий'!H74</f>
        <v>60.800000000000004</v>
      </c>
      <c r="F74" s="375"/>
    </row>
    <row r="75" spans="1:6" x14ac:dyDescent="0.25">
      <c r="A75" s="375"/>
      <c r="B75" s="329"/>
      <c r="C75" s="405"/>
      <c r="D75" s="283" t="s">
        <v>135</v>
      </c>
      <c r="E75" s="111">
        <f>'Прил 11 Перечень мероприятий'!I74</f>
        <v>70</v>
      </c>
      <c r="F75" s="375"/>
    </row>
    <row r="76" spans="1:6" x14ac:dyDescent="0.25">
      <c r="A76" s="375"/>
      <c r="B76" s="329"/>
      <c r="C76" s="405"/>
      <c r="D76" s="283" t="s">
        <v>152</v>
      </c>
      <c r="E76" s="111">
        <f>'Прил 11 Перечень мероприятий'!J74</f>
        <v>70</v>
      </c>
      <c r="F76" s="375"/>
    </row>
    <row r="77" spans="1:6" x14ac:dyDescent="0.25">
      <c r="A77" s="376"/>
      <c r="B77" s="329"/>
      <c r="C77" s="405"/>
      <c r="D77" s="283" t="s">
        <v>153</v>
      </c>
      <c r="E77" s="111">
        <f>'Прил 11 Перечень мероприятий'!K74</f>
        <v>70</v>
      </c>
      <c r="F77" s="376"/>
    </row>
    <row r="78" spans="1:6" ht="15" customHeight="1" x14ac:dyDescent="0.25">
      <c r="A78" s="374" t="s">
        <v>288</v>
      </c>
      <c r="B78" s="329" t="s">
        <v>132</v>
      </c>
      <c r="C78" s="404" t="s">
        <v>473</v>
      </c>
      <c r="D78" s="110" t="s">
        <v>91</v>
      </c>
      <c r="E78" s="99">
        <f>E79+E80+E81+E82+E83</f>
        <v>0</v>
      </c>
      <c r="F78" s="374"/>
    </row>
    <row r="79" spans="1:6" x14ac:dyDescent="0.25">
      <c r="A79" s="375"/>
      <c r="B79" s="329"/>
      <c r="C79" s="405"/>
      <c r="D79" s="283" t="s">
        <v>5</v>
      </c>
      <c r="E79" s="111">
        <f>'Прил 11 Перечень мероприятий'!G78</f>
        <v>0</v>
      </c>
      <c r="F79" s="375"/>
    </row>
    <row r="80" spans="1:6" x14ac:dyDescent="0.25">
      <c r="A80" s="375"/>
      <c r="B80" s="329"/>
      <c r="C80" s="405"/>
      <c r="D80" s="283" t="s">
        <v>90</v>
      </c>
      <c r="E80" s="111">
        <f>'Прил 11 Перечень мероприятий'!H78</f>
        <v>0</v>
      </c>
      <c r="F80" s="375"/>
    </row>
    <row r="81" spans="1:6" x14ac:dyDescent="0.25">
      <c r="A81" s="375"/>
      <c r="B81" s="329"/>
      <c r="C81" s="405"/>
      <c r="D81" s="283" t="s">
        <v>135</v>
      </c>
      <c r="E81" s="111">
        <f>'Прил 11 Перечень мероприятий'!I78</f>
        <v>0</v>
      </c>
      <c r="F81" s="375"/>
    </row>
    <row r="82" spans="1:6" x14ac:dyDescent="0.25">
      <c r="A82" s="375"/>
      <c r="B82" s="329"/>
      <c r="C82" s="405"/>
      <c r="D82" s="283" t="s">
        <v>152</v>
      </c>
      <c r="E82" s="111">
        <f>'Прил 11 Перечень мероприятий'!J78</f>
        <v>0</v>
      </c>
      <c r="F82" s="375"/>
    </row>
    <row r="83" spans="1:6" x14ac:dyDescent="0.25">
      <c r="A83" s="376"/>
      <c r="B83" s="329"/>
      <c r="C83" s="405"/>
      <c r="D83" s="283" t="s">
        <v>153</v>
      </c>
      <c r="E83" s="111">
        <f>'Прил 11 Перечень мероприятий'!K78</f>
        <v>0</v>
      </c>
      <c r="F83" s="376"/>
    </row>
    <row r="84" spans="1:6" x14ac:dyDescent="0.25">
      <c r="A84" s="374" t="s">
        <v>391</v>
      </c>
      <c r="B84" s="329" t="s">
        <v>14</v>
      </c>
      <c r="C84" s="404" t="s">
        <v>475</v>
      </c>
      <c r="D84" s="110" t="s">
        <v>91</v>
      </c>
      <c r="E84" s="99">
        <f>E85+E86+E87+E88+E89</f>
        <v>110</v>
      </c>
      <c r="F84" s="374"/>
    </row>
    <row r="85" spans="1:6" x14ac:dyDescent="0.25">
      <c r="A85" s="375"/>
      <c r="B85" s="329"/>
      <c r="C85" s="405"/>
      <c r="D85" s="283" t="s">
        <v>5</v>
      </c>
      <c r="E85" s="111">
        <f>'Прил 11 Перечень мероприятий'!G83</f>
        <v>110</v>
      </c>
      <c r="F85" s="375"/>
    </row>
    <row r="86" spans="1:6" x14ac:dyDescent="0.25">
      <c r="A86" s="375"/>
      <c r="B86" s="329"/>
      <c r="C86" s="405"/>
      <c r="D86" s="283" t="s">
        <v>90</v>
      </c>
      <c r="E86" s="111">
        <f>'Прил 11 Перечень мероприятий'!H83</f>
        <v>0</v>
      </c>
      <c r="F86" s="375"/>
    </row>
    <row r="87" spans="1:6" x14ac:dyDescent="0.25">
      <c r="A87" s="375"/>
      <c r="B87" s="329"/>
      <c r="C87" s="405"/>
      <c r="D87" s="283" t="s">
        <v>135</v>
      </c>
      <c r="E87" s="111">
        <f>'Прил 11 Перечень мероприятий'!I83</f>
        <v>0</v>
      </c>
      <c r="F87" s="375"/>
    </row>
    <row r="88" spans="1:6" x14ac:dyDescent="0.25">
      <c r="A88" s="375"/>
      <c r="B88" s="329"/>
      <c r="C88" s="405"/>
      <c r="D88" s="283" t="s">
        <v>152</v>
      </c>
      <c r="E88" s="111">
        <f>'Прил 11 Перечень мероприятий'!J83</f>
        <v>0</v>
      </c>
      <c r="F88" s="375"/>
    </row>
    <row r="89" spans="1:6" x14ac:dyDescent="0.25">
      <c r="A89" s="376"/>
      <c r="B89" s="329"/>
      <c r="C89" s="405"/>
      <c r="D89" s="283" t="s">
        <v>153</v>
      </c>
      <c r="E89" s="111">
        <f>'Прил 11 Перечень мероприятий'!K83</f>
        <v>0</v>
      </c>
      <c r="F89" s="376"/>
    </row>
    <row r="90" spans="1:6" ht="24" customHeight="1" x14ac:dyDescent="0.25">
      <c r="A90" s="384" t="s">
        <v>227</v>
      </c>
      <c r="B90" s="395"/>
      <c r="C90" s="395"/>
      <c r="D90" s="395"/>
      <c r="E90" s="395"/>
      <c r="F90" s="396"/>
    </row>
    <row r="91" spans="1:6" ht="15" customHeight="1" x14ac:dyDescent="0.25">
      <c r="A91" s="374" t="s">
        <v>311</v>
      </c>
      <c r="B91" s="329" t="s">
        <v>132</v>
      </c>
      <c r="C91" s="404" t="s">
        <v>473</v>
      </c>
      <c r="D91" s="110" t="s">
        <v>91</v>
      </c>
      <c r="E91" s="99">
        <f>E92+E93+E94+E95+E96</f>
        <v>85</v>
      </c>
      <c r="F91" s="364"/>
    </row>
    <row r="92" spans="1:6" x14ac:dyDescent="0.25">
      <c r="A92" s="375"/>
      <c r="B92" s="329"/>
      <c r="C92" s="405"/>
      <c r="D92" s="251" t="s">
        <v>5</v>
      </c>
      <c r="E92" s="111">
        <f>'Прил 11 Перечень мероприятий'!G90</f>
        <v>85</v>
      </c>
      <c r="F92" s="364"/>
    </row>
    <row r="93" spans="1:6" x14ac:dyDescent="0.25">
      <c r="A93" s="375"/>
      <c r="B93" s="329"/>
      <c r="C93" s="405"/>
      <c r="D93" s="251" t="s">
        <v>90</v>
      </c>
      <c r="E93" s="111">
        <f>'Прил 11 Перечень мероприятий'!H90</f>
        <v>0</v>
      </c>
      <c r="F93" s="364"/>
    </row>
    <row r="94" spans="1:6" x14ac:dyDescent="0.25">
      <c r="A94" s="375"/>
      <c r="B94" s="329"/>
      <c r="C94" s="405"/>
      <c r="D94" s="251" t="s">
        <v>135</v>
      </c>
      <c r="E94" s="111">
        <f>'Прил 11 Перечень мероприятий'!I90</f>
        <v>0</v>
      </c>
      <c r="F94" s="364"/>
    </row>
    <row r="95" spans="1:6" x14ac:dyDescent="0.25">
      <c r="A95" s="375"/>
      <c r="B95" s="329"/>
      <c r="C95" s="405"/>
      <c r="D95" s="251" t="s">
        <v>152</v>
      </c>
      <c r="E95" s="111">
        <f>'Прил 11 Перечень мероприятий'!J90</f>
        <v>0</v>
      </c>
      <c r="F95" s="364"/>
    </row>
    <row r="96" spans="1:6" x14ac:dyDescent="0.25">
      <c r="A96" s="376"/>
      <c r="B96" s="329"/>
      <c r="C96" s="405"/>
      <c r="D96" s="251" t="s">
        <v>153</v>
      </c>
      <c r="E96" s="111">
        <f>'Прил 11 Перечень мероприятий'!K90</f>
        <v>0</v>
      </c>
      <c r="F96" s="364"/>
    </row>
    <row r="97" spans="1:6" ht="15" customHeight="1" x14ac:dyDescent="0.25">
      <c r="A97" s="374" t="s">
        <v>315</v>
      </c>
      <c r="B97" s="329" t="s">
        <v>132</v>
      </c>
      <c r="C97" s="405" t="s">
        <v>474</v>
      </c>
      <c r="D97" s="110" t="s">
        <v>91</v>
      </c>
      <c r="E97" s="99">
        <f>E98+E99+E100+E101+E102</f>
        <v>335</v>
      </c>
      <c r="F97" s="364"/>
    </row>
    <row r="98" spans="1:6" x14ac:dyDescent="0.25">
      <c r="A98" s="375"/>
      <c r="B98" s="329"/>
      <c r="C98" s="405"/>
      <c r="D98" s="251" t="s">
        <v>5</v>
      </c>
      <c r="E98" s="111">
        <f>'Прил 11 Перечень мероприятий'!G94</f>
        <v>140</v>
      </c>
      <c r="F98" s="364"/>
    </row>
    <row r="99" spans="1:6" x14ac:dyDescent="0.25">
      <c r="A99" s="375"/>
      <c r="B99" s="329"/>
      <c r="C99" s="405"/>
      <c r="D99" s="251" t="s">
        <v>90</v>
      </c>
      <c r="E99" s="111">
        <f>'Прил 11 Перечень мероприятий'!H94</f>
        <v>0</v>
      </c>
      <c r="F99" s="364"/>
    </row>
    <row r="100" spans="1:6" x14ac:dyDescent="0.25">
      <c r="A100" s="375"/>
      <c r="B100" s="329"/>
      <c r="C100" s="405"/>
      <c r="D100" s="251" t="s">
        <v>135</v>
      </c>
      <c r="E100" s="111">
        <f>'Прил 11 Перечень мероприятий'!I94</f>
        <v>65</v>
      </c>
      <c r="F100" s="364"/>
    </row>
    <row r="101" spans="1:6" x14ac:dyDescent="0.25">
      <c r="A101" s="375"/>
      <c r="B101" s="329"/>
      <c r="C101" s="405"/>
      <c r="D101" s="251" t="s">
        <v>152</v>
      </c>
      <c r="E101" s="111">
        <f>'Прил 11 Перечень мероприятий'!J94</f>
        <v>65</v>
      </c>
      <c r="F101" s="364"/>
    </row>
    <row r="102" spans="1:6" x14ac:dyDescent="0.25">
      <c r="A102" s="376"/>
      <c r="B102" s="329"/>
      <c r="C102" s="405"/>
      <c r="D102" s="251" t="s">
        <v>153</v>
      </c>
      <c r="E102" s="111">
        <f>'Прил 11 Перечень мероприятий'!K94</f>
        <v>65</v>
      </c>
      <c r="F102" s="364"/>
    </row>
    <row r="103" spans="1:6" ht="15" customHeight="1" x14ac:dyDescent="0.25">
      <c r="A103" s="374" t="s">
        <v>316</v>
      </c>
      <c r="B103" s="329" t="s">
        <v>132</v>
      </c>
      <c r="C103" s="405" t="s">
        <v>476</v>
      </c>
      <c r="D103" s="110" t="s">
        <v>91</v>
      </c>
      <c r="E103" s="99">
        <f>E104+E105+E106+E107+E108</f>
        <v>217.4</v>
      </c>
      <c r="F103" s="364"/>
    </row>
    <row r="104" spans="1:6" x14ac:dyDescent="0.25">
      <c r="A104" s="375"/>
      <c r="B104" s="329"/>
      <c r="C104" s="405"/>
      <c r="D104" s="251" t="s">
        <v>5</v>
      </c>
      <c r="E104" s="111">
        <f>'Прил 11 Перечень мероприятий'!G98</f>
        <v>41.4</v>
      </c>
      <c r="F104" s="364"/>
    </row>
    <row r="105" spans="1:6" x14ac:dyDescent="0.25">
      <c r="A105" s="375"/>
      <c r="B105" s="329"/>
      <c r="C105" s="405"/>
      <c r="D105" s="251" t="s">
        <v>90</v>
      </c>
      <c r="E105" s="111">
        <f>'Прил 11 Перечень мероприятий'!H98</f>
        <v>44</v>
      </c>
      <c r="F105" s="364"/>
    </row>
    <row r="106" spans="1:6" x14ac:dyDescent="0.25">
      <c r="A106" s="375"/>
      <c r="B106" s="329"/>
      <c r="C106" s="405"/>
      <c r="D106" s="251" t="s">
        <v>135</v>
      </c>
      <c r="E106" s="111">
        <f>'Прил 11 Перечень мероприятий'!I98</f>
        <v>44</v>
      </c>
      <c r="F106" s="364"/>
    </row>
    <row r="107" spans="1:6" x14ac:dyDescent="0.25">
      <c r="A107" s="375"/>
      <c r="B107" s="329"/>
      <c r="C107" s="405"/>
      <c r="D107" s="251" t="s">
        <v>152</v>
      </c>
      <c r="E107" s="111">
        <f>'Прил 11 Перечень мероприятий'!J98</f>
        <v>44</v>
      </c>
      <c r="F107" s="364"/>
    </row>
    <row r="108" spans="1:6" x14ac:dyDescent="0.25">
      <c r="A108" s="376"/>
      <c r="B108" s="329"/>
      <c r="C108" s="405"/>
      <c r="D108" s="251" t="s">
        <v>153</v>
      </c>
      <c r="E108" s="111">
        <f>'Прил 11 Перечень мероприятий'!K98</f>
        <v>44</v>
      </c>
      <c r="F108" s="364"/>
    </row>
    <row r="109" spans="1:6" ht="15" customHeight="1" x14ac:dyDescent="0.25">
      <c r="A109" s="374" t="s">
        <v>362</v>
      </c>
      <c r="B109" s="329" t="s">
        <v>132</v>
      </c>
      <c r="C109" s="405" t="s">
        <v>421</v>
      </c>
      <c r="D109" s="110" t="s">
        <v>91</v>
      </c>
      <c r="E109" s="99">
        <f>E110+E111+E112+E113+E114</f>
        <v>300</v>
      </c>
      <c r="F109" s="364"/>
    </row>
    <row r="110" spans="1:6" x14ac:dyDescent="0.25">
      <c r="A110" s="375"/>
      <c r="B110" s="329"/>
      <c r="C110" s="405"/>
      <c r="D110" s="283" t="s">
        <v>5</v>
      </c>
      <c r="E110" s="111">
        <f>'Прил 11 Перечень мероприятий'!G102</f>
        <v>100</v>
      </c>
      <c r="F110" s="364"/>
    </row>
    <row r="111" spans="1:6" x14ac:dyDescent="0.25">
      <c r="A111" s="375"/>
      <c r="B111" s="329"/>
      <c r="C111" s="405"/>
      <c r="D111" s="283" t="s">
        <v>90</v>
      </c>
      <c r="E111" s="111">
        <f>'Прил 11 Перечень мероприятий'!H102</f>
        <v>50</v>
      </c>
      <c r="F111" s="364"/>
    </row>
    <row r="112" spans="1:6" x14ac:dyDescent="0.25">
      <c r="A112" s="375"/>
      <c r="B112" s="329"/>
      <c r="C112" s="405"/>
      <c r="D112" s="283" t="s">
        <v>135</v>
      </c>
      <c r="E112" s="111">
        <f>'Прил 11 Перечень мероприятий'!I102</f>
        <v>50</v>
      </c>
      <c r="F112" s="364"/>
    </row>
    <row r="113" spans="1:6" x14ac:dyDescent="0.25">
      <c r="A113" s="375"/>
      <c r="B113" s="329"/>
      <c r="C113" s="405"/>
      <c r="D113" s="283" t="s">
        <v>152</v>
      </c>
      <c r="E113" s="111">
        <f>'Прил 11 Перечень мероприятий'!J102</f>
        <v>50</v>
      </c>
      <c r="F113" s="364"/>
    </row>
    <row r="114" spans="1:6" x14ac:dyDescent="0.25">
      <c r="A114" s="376"/>
      <c r="B114" s="329"/>
      <c r="C114" s="405"/>
      <c r="D114" s="283" t="s">
        <v>153</v>
      </c>
      <c r="E114" s="111">
        <f>'Прил 11 Перечень мероприятий'!K102</f>
        <v>50</v>
      </c>
      <c r="F114" s="364"/>
    </row>
    <row r="115" spans="1:6" ht="15" customHeight="1" x14ac:dyDescent="0.25">
      <c r="A115" s="374" t="s">
        <v>352</v>
      </c>
      <c r="B115" s="329" t="s">
        <v>132</v>
      </c>
      <c r="C115" s="405" t="s">
        <v>585</v>
      </c>
      <c r="D115" s="110" t="s">
        <v>91</v>
      </c>
      <c r="E115" s="99">
        <f>E116+E117+E118+E119+E120</f>
        <v>488.09999999999997</v>
      </c>
      <c r="F115" s="364"/>
    </row>
    <row r="116" spans="1:6" x14ac:dyDescent="0.25">
      <c r="A116" s="375"/>
      <c r="B116" s="329"/>
      <c r="C116" s="405"/>
      <c r="D116" s="283" t="s">
        <v>5</v>
      </c>
      <c r="E116" s="111">
        <f>'Прил 11 Перечень мероприятий'!G106</f>
        <v>146</v>
      </c>
      <c r="F116" s="364"/>
    </row>
    <row r="117" spans="1:6" x14ac:dyDescent="0.25">
      <c r="A117" s="375"/>
      <c r="B117" s="329"/>
      <c r="C117" s="405"/>
      <c r="D117" s="283" t="s">
        <v>90</v>
      </c>
      <c r="E117" s="111">
        <f>'Прил 11 Перечень мероприятий'!H106</f>
        <v>154</v>
      </c>
      <c r="F117" s="364"/>
    </row>
    <row r="118" spans="1:6" x14ac:dyDescent="0.25">
      <c r="A118" s="375"/>
      <c r="B118" s="329"/>
      <c r="C118" s="405"/>
      <c r="D118" s="283" t="s">
        <v>135</v>
      </c>
      <c r="E118" s="111">
        <f>'Прил 11 Перечень мероприятий'!I106</f>
        <v>62.7</v>
      </c>
      <c r="F118" s="364"/>
    </row>
    <row r="119" spans="1:6" x14ac:dyDescent="0.25">
      <c r="A119" s="375"/>
      <c r="B119" s="329"/>
      <c r="C119" s="405"/>
      <c r="D119" s="283" t="s">
        <v>152</v>
      </c>
      <c r="E119" s="111">
        <f>'Прил 11 Перечень мероприятий'!J106</f>
        <v>62.7</v>
      </c>
      <c r="F119" s="364"/>
    </row>
    <row r="120" spans="1:6" x14ac:dyDescent="0.25">
      <c r="A120" s="376"/>
      <c r="B120" s="329"/>
      <c r="C120" s="405"/>
      <c r="D120" s="283" t="s">
        <v>153</v>
      </c>
      <c r="E120" s="111">
        <f>'Прил 11 Перечень мероприятий'!K106</f>
        <v>62.7</v>
      </c>
      <c r="F120" s="364"/>
    </row>
    <row r="121" spans="1:6" x14ac:dyDescent="0.25">
      <c r="A121" s="374" t="s">
        <v>385</v>
      </c>
      <c r="B121" s="329" t="s">
        <v>132</v>
      </c>
      <c r="C121" s="405" t="s">
        <v>599</v>
      </c>
      <c r="D121" s="110" t="s">
        <v>91</v>
      </c>
      <c r="E121" s="99">
        <f>E122+E123+E124+E125+E126</f>
        <v>89.2</v>
      </c>
      <c r="F121" s="364"/>
    </row>
    <row r="122" spans="1:6" x14ac:dyDescent="0.25">
      <c r="A122" s="375"/>
      <c r="B122" s="329"/>
      <c r="C122" s="405"/>
      <c r="D122" s="283" t="s">
        <v>5</v>
      </c>
      <c r="E122" s="111">
        <f>'Прил 11 Перечень мероприятий'!G110</f>
        <v>45</v>
      </c>
      <c r="F122" s="364"/>
    </row>
    <row r="123" spans="1:6" x14ac:dyDescent="0.25">
      <c r="A123" s="375"/>
      <c r="B123" s="329"/>
      <c r="C123" s="405"/>
      <c r="D123" s="283" t="s">
        <v>90</v>
      </c>
      <c r="E123" s="111">
        <f>'Прил 11 Перечень мероприятий'!H110</f>
        <v>44.2</v>
      </c>
      <c r="F123" s="364"/>
    </row>
    <row r="124" spans="1:6" x14ac:dyDescent="0.25">
      <c r="A124" s="375"/>
      <c r="B124" s="329"/>
      <c r="C124" s="405"/>
      <c r="D124" s="283" t="s">
        <v>135</v>
      </c>
      <c r="E124" s="111">
        <f>'Прил 11 Перечень мероприятий'!I110</f>
        <v>0</v>
      </c>
      <c r="F124" s="364"/>
    </row>
    <row r="125" spans="1:6" x14ac:dyDescent="0.25">
      <c r="A125" s="375"/>
      <c r="B125" s="329"/>
      <c r="C125" s="405"/>
      <c r="D125" s="283" t="s">
        <v>152</v>
      </c>
      <c r="E125" s="111">
        <f>'Прил 11 Перечень мероприятий'!J110</f>
        <v>0</v>
      </c>
      <c r="F125" s="364"/>
    </row>
    <row r="126" spans="1:6" x14ac:dyDescent="0.25">
      <c r="A126" s="376"/>
      <c r="B126" s="329"/>
      <c r="C126" s="405"/>
      <c r="D126" s="283" t="s">
        <v>153</v>
      </c>
      <c r="E126" s="111">
        <f>'Прил 11 Перечень мероприятий'!K110</f>
        <v>0</v>
      </c>
      <c r="F126" s="364"/>
    </row>
    <row r="127" spans="1:6" x14ac:dyDescent="0.25">
      <c r="A127" s="374" t="s">
        <v>422</v>
      </c>
      <c r="B127" s="329" t="s">
        <v>132</v>
      </c>
      <c r="C127" s="405" t="s">
        <v>471</v>
      </c>
      <c r="D127" s="110" t="s">
        <v>91</v>
      </c>
      <c r="E127" s="99">
        <f>E128+E129+E130+E131+E132</f>
        <v>1095.5999999999999</v>
      </c>
      <c r="F127" s="364"/>
    </row>
    <row r="128" spans="1:6" x14ac:dyDescent="0.25">
      <c r="A128" s="375"/>
      <c r="B128" s="329"/>
      <c r="C128" s="405"/>
      <c r="D128" s="283" t="s">
        <v>5</v>
      </c>
      <c r="E128" s="111">
        <f>'Прил 11 Перечень мероприятий'!G114</f>
        <v>0</v>
      </c>
      <c r="F128" s="364"/>
    </row>
    <row r="129" spans="1:6" x14ac:dyDescent="0.25">
      <c r="A129" s="375"/>
      <c r="B129" s="329"/>
      <c r="C129" s="405"/>
      <c r="D129" s="283" t="s">
        <v>90</v>
      </c>
      <c r="E129" s="111">
        <f>'Прил 11 Перечень мероприятий'!H114</f>
        <v>0</v>
      </c>
      <c r="F129" s="364"/>
    </row>
    <row r="130" spans="1:6" x14ac:dyDescent="0.25">
      <c r="A130" s="375"/>
      <c r="B130" s="329"/>
      <c r="C130" s="405"/>
      <c r="D130" s="283" t="s">
        <v>135</v>
      </c>
      <c r="E130" s="111">
        <f>'Прил 11 Перечень мероприятий'!I114</f>
        <v>365.2</v>
      </c>
      <c r="F130" s="364"/>
    </row>
    <row r="131" spans="1:6" x14ac:dyDescent="0.25">
      <c r="A131" s="375"/>
      <c r="B131" s="329"/>
      <c r="C131" s="405"/>
      <c r="D131" s="283" t="s">
        <v>152</v>
      </c>
      <c r="E131" s="111">
        <f>'Прил 11 Перечень мероприятий'!J114</f>
        <v>365.2</v>
      </c>
      <c r="F131" s="364"/>
    </row>
    <row r="132" spans="1:6" x14ac:dyDescent="0.25">
      <c r="A132" s="376"/>
      <c r="B132" s="329"/>
      <c r="C132" s="405"/>
      <c r="D132" s="283" t="s">
        <v>153</v>
      </c>
      <c r="E132" s="111">
        <f>'Прил 11 Перечень мероприятий'!K114</f>
        <v>365.2</v>
      </c>
      <c r="F132" s="364"/>
    </row>
    <row r="133" spans="1:6" x14ac:dyDescent="0.25">
      <c r="A133" s="374" t="s">
        <v>423</v>
      </c>
      <c r="B133" s="329" t="s">
        <v>132</v>
      </c>
      <c r="C133" s="404" t="s">
        <v>582</v>
      </c>
      <c r="D133" s="110" t="s">
        <v>91</v>
      </c>
      <c r="E133" s="99">
        <f>E134+E135+E136+E137+E138</f>
        <v>444</v>
      </c>
      <c r="F133" s="364"/>
    </row>
    <row r="134" spans="1:6" x14ac:dyDescent="0.25">
      <c r="A134" s="375"/>
      <c r="B134" s="329"/>
      <c r="C134" s="405"/>
      <c r="D134" s="283" t="s">
        <v>5</v>
      </c>
      <c r="E134" s="111">
        <f>'Прил 11 Перечень мероприятий'!G118</f>
        <v>0</v>
      </c>
      <c r="F134" s="364"/>
    </row>
    <row r="135" spans="1:6" x14ac:dyDescent="0.25">
      <c r="A135" s="375"/>
      <c r="B135" s="329"/>
      <c r="C135" s="405"/>
      <c r="D135" s="283" t="s">
        <v>90</v>
      </c>
      <c r="E135" s="111">
        <f>'Прил 11 Перечень мероприятий'!H118</f>
        <v>0</v>
      </c>
      <c r="F135" s="364"/>
    </row>
    <row r="136" spans="1:6" x14ac:dyDescent="0.25">
      <c r="A136" s="375"/>
      <c r="B136" s="329"/>
      <c r="C136" s="405"/>
      <c r="D136" s="283" t="s">
        <v>135</v>
      </c>
      <c r="E136" s="111">
        <f>'Прил 11 Перечень мероприятий'!I118</f>
        <v>148</v>
      </c>
      <c r="F136" s="364"/>
    </row>
    <row r="137" spans="1:6" x14ac:dyDescent="0.25">
      <c r="A137" s="375"/>
      <c r="B137" s="329"/>
      <c r="C137" s="405"/>
      <c r="D137" s="283" t="s">
        <v>152</v>
      </c>
      <c r="E137" s="111">
        <f>'Прил 11 Перечень мероприятий'!J118</f>
        <v>148</v>
      </c>
      <c r="F137" s="364"/>
    </row>
    <row r="138" spans="1:6" x14ac:dyDescent="0.25">
      <c r="A138" s="376"/>
      <c r="B138" s="329"/>
      <c r="C138" s="405"/>
      <c r="D138" s="283" t="s">
        <v>153</v>
      </c>
      <c r="E138" s="111">
        <f>'Прил 11 Перечень мероприятий'!K118</f>
        <v>148</v>
      </c>
      <c r="F138" s="364"/>
    </row>
    <row r="139" spans="1:6" x14ac:dyDescent="0.25">
      <c r="A139" s="374" t="s">
        <v>581</v>
      </c>
      <c r="B139" s="329" t="s">
        <v>132</v>
      </c>
      <c r="C139" s="405" t="s">
        <v>583</v>
      </c>
      <c r="D139" s="110" t="s">
        <v>91</v>
      </c>
      <c r="E139" s="99">
        <f>E140+E141+E142+E143+E144</f>
        <v>23.200000000000003</v>
      </c>
      <c r="F139" s="364"/>
    </row>
    <row r="140" spans="1:6" x14ac:dyDescent="0.25">
      <c r="A140" s="375"/>
      <c r="B140" s="329"/>
      <c r="C140" s="405"/>
      <c r="D140" s="283" t="s">
        <v>5</v>
      </c>
      <c r="E140" s="111">
        <f>'Прил 11 Перечень мероприятий'!G122</f>
        <v>0</v>
      </c>
      <c r="F140" s="364"/>
    </row>
    <row r="141" spans="1:6" x14ac:dyDescent="0.25">
      <c r="A141" s="375"/>
      <c r="B141" s="329"/>
      <c r="C141" s="405"/>
      <c r="D141" s="283" t="s">
        <v>90</v>
      </c>
      <c r="E141" s="111">
        <f>'Прил 11 Перечень мероприятий'!H122</f>
        <v>23.200000000000003</v>
      </c>
      <c r="F141" s="364"/>
    </row>
    <row r="142" spans="1:6" x14ac:dyDescent="0.25">
      <c r="A142" s="375"/>
      <c r="B142" s="329"/>
      <c r="C142" s="405"/>
      <c r="D142" s="283" t="s">
        <v>135</v>
      </c>
      <c r="E142" s="111">
        <f>'Прил 11 Перечень мероприятий'!I122</f>
        <v>0</v>
      </c>
      <c r="F142" s="364"/>
    </row>
    <row r="143" spans="1:6" x14ac:dyDescent="0.25">
      <c r="A143" s="375"/>
      <c r="B143" s="329"/>
      <c r="C143" s="405"/>
      <c r="D143" s="283" t="s">
        <v>152</v>
      </c>
      <c r="E143" s="111">
        <f>'Прил 11 Перечень мероприятий'!J122</f>
        <v>0</v>
      </c>
      <c r="F143" s="364"/>
    </row>
    <row r="144" spans="1:6" x14ac:dyDescent="0.25">
      <c r="A144" s="376"/>
      <c r="B144" s="329"/>
      <c r="C144" s="405"/>
      <c r="D144" s="283" t="s">
        <v>153</v>
      </c>
      <c r="E144" s="111">
        <f>'Прил 11 Перечень мероприятий'!K122</f>
        <v>0</v>
      </c>
      <c r="F144" s="364"/>
    </row>
    <row r="145" spans="1:6" ht="27" customHeight="1" x14ac:dyDescent="0.25">
      <c r="A145" s="389" t="s">
        <v>186</v>
      </c>
      <c r="B145" s="390"/>
      <c r="C145" s="390"/>
      <c r="D145" s="390"/>
      <c r="E145" s="390"/>
      <c r="F145" s="391"/>
    </row>
    <row r="146" spans="1:6" ht="21" customHeight="1" x14ac:dyDescent="0.25">
      <c r="A146" s="384" t="s">
        <v>166</v>
      </c>
      <c r="B146" s="395"/>
      <c r="C146" s="395"/>
      <c r="D146" s="395"/>
      <c r="E146" s="395"/>
      <c r="F146" s="396"/>
    </row>
    <row r="147" spans="1:6" ht="25.5" customHeight="1" x14ac:dyDescent="0.25">
      <c r="A147" s="374" t="s">
        <v>298</v>
      </c>
      <c r="B147" s="329" t="s">
        <v>132</v>
      </c>
      <c r="C147" s="401" t="s">
        <v>600</v>
      </c>
      <c r="D147" s="110" t="s">
        <v>91</v>
      </c>
      <c r="E147" s="98">
        <f>E148+E149+E150+E151+E152</f>
        <v>297398.34000000003</v>
      </c>
      <c r="F147" s="364"/>
    </row>
    <row r="148" spans="1:6" x14ac:dyDescent="0.25">
      <c r="A148" s="375"/>
      <c r="B148" s="329"/>
      <c r="C148" s="402"/>
      <c r="D148" s="283" t="s">
        <v>5</v>
      </c>
      <c r="E148" s="111">
        <f>'Прил 11 Перечень мероприятий'!G139</f>
        <v>50646.74</v>
      </c>
      <c r="F148" s="364"/>
    </row>
    <row r="149" spans="1:6" x14ac:dyDescent="0.25">
      <c r="A149" s="375"/>
      <c r="B149" s="329"/>
      <c r="C149" s="402"/>
      <c r="D149" s="283" t="s">
        <v>90</v>
      </c>
      <c r="E149" s="111">
        <f>'Прил 11 Перечень мероприятий'!H139</f>
        <v>60583.100000000006</v>
      </c>
      <c r="F149" s="364"/>
    </row>
    <row r="150" spans="1:6" x14ac:dyDescent="0.25">
      <c r="A150" s="375"/>
      <c r="B150" s="329"/>
      <c r="C150" s="402"/>
      <c r="D150" s="283" t="s">
        <v>135</v>
      </c>
      <c r="E150" s="111">
        <f>'Прил 11 Перечень мероприятий'!I139</f>
        <v>60626.3</v>
      </c>
      <c r="F150" s="364"/>
    </row>
    <row r="151" spans="1:6" x14ac:dyDescent="0.25">
      <c r="A151" s="375"/>
      <c r="B151" s="329"/>
      <c r="C151" s="402"/>
      <c r="D151" s="283" t="s">
        <v>152</v>
      </c>
      <c r="E151" s="111">
        <f>'Прил 11 Перечень мероприятий'!J139</f>
        <v>60626.3</v>
      </c>
      <c r="F151" s="364"/>
    </row>
    <row r="152" spans="1:6" ht="21.75" customHeight="1" x14ac:dyDescent="0.25">
      <c r="A152" s="375"/>
      <c r="B152" s="329"/>
      <c r="C152" s="402"/>
      <c r="D152" s="283" t="s">
        <v>153</v>
      </c>
      <c r="E152" s="111">
        <f>'Прил 11 Перечень мероприятий'!K139</f>
        <v>64915.9</v>
      </c>
      <c r="F152" s="364"/>
    </row>
    <row r="153" spans="1:6" ht="15" customHeight="1" x14ac:dyDescent="0.25">
      <c r="A153" s="374" t="s">
        <v>323</v>
      </c>
      <c r="B153" s="329" t="s">
        <v>132</v>
      </c>
      <c r="C153" s="383" t="s">
        <v>477</v>
      </c>
      <c r="D153" s="110" t="s">
        <v>91</v>
      </c>
      <c r="E153" s="99">
        <f>E154+E155+E156+E157+E158</f>
        <v>462.5</v>
      </c>
      <c r="F153" s="364"/>
    </row>
    <row r="154" spans="1:6" x14ac:dyDescent="0.25">
      <c r="A154" s="375"/>
      <c r="B154" s="329"/>
      <c r="C154" s="383"/>
      <c r="D154" s="283" t="s">
        <v>5</v>
      </c>
      <c r="E154" s="111">
        <f>'Прил 11 Перечень мероприятий'!G143</f>
        <v>462.5</v>
      </c>
      <c r="F154" s="364"/>
    </row>
    <row r="155" spans="1:6" x14ac:dyDescent="0.25">
      <c r="A155" s="375"/>
      <c r="B155" s="329"/>
      <c r="C155" s="383"/>
      <c r="D155" s="283" t="s">
        <v>90</v>
      </c>
      <c r="E155" s="111">
        <f>'Прил 11 Перечень мероприятий'!H143</f>
        <v>0</v>
      </c>
      <c r="F155" s="364"/>
    </row>
    <row r="156" spans="1:6" x14ac:dyDescent="0.25">
      <c r="A156" s="375"/>
      <c r="B156" s="329"/>
      <c r="C156" s="383"/>
      <c r="D156" s="283" t="s">
        <v>135</v>
      </c>
      <c r="E156" s="111">
        <f>'Прил 11 Перечень мероприятий'!I143</f>
        <v>0</v>
      </c>
      <c r="F156" s="364"/>
    </row>
    <row r="157" spans="1:6" x14ac:dyDescent="0.25">
      <c r="A157" s="375"/>
      <c r="B157" s="329"/>
      <c r="C157" s="383"/>
      <c r="D157" s="283" t="s">
        <v>152</v>
      </c>
      <c r="E157" s="111">
        <f>'Прил 11 Перечень мероприятий'!J143</f>
        <v>0</v>
      </c>
      <c r="F157" s="364"/>
    </row>
    <row r="158" spans="1:6" x14ac:dyDescent="0.25">
      <c r="A158" s="375"/>
      <c r="B158" s="329"/>
      <c r="C158" s="383"/>
      <c r="D158" s="283" t="s">
        <v>153</v>
      </c>
      <c r="E158" s="111">
        <f>'Прил 11 Перечень мероприятий'!K143</f>
        <v>0</v>
      </c>
      <c r="F158" s="364"/>
    </row>
    <row r="159" spans="1:6" x14ac:dyDescent="0.25">
      <c r="A159" s="375"/>
      <c r="B159" s="329" t="s">
        <v>14</v>
      </c>
      <c r="C159" s="383" t="s">
        <v>477</v>
      </c>
      <c r="D159" s="110" t="s">
        <v>91</v>
      </c>
      <c r="E159" s="99">
        <f>E160+E161+E162+E163+E164</f>
        <v>3170.5</v>
      </c>
      <c r="F159" s="364"/>
    </row>
    <row r="160" spans="1:6" x14ac:dyDescent="0.25">
      <c r="A160" s="375"/>
      <c r="B160" s="329"/>
      <c r="C160" s="383"/>
      <c r="D160" s="283" t="s">
        <v>5</v>
      </c>
      <c r="E160" s="111">
        <f>'Прил 11 Перечень мероприятий'!G144</f>
        <v>3170.5</v>
      </c>
      <c r="F160" s="364"/>
    </row>
    <row r="161" spans="1:11" x14ac:dyDescent="0.25">
      <c r="A161" s="375"/>
      <c r="B161" s="329"/>
      <c r="C161" s="383"/>
      <c r="D161" s="283" t="s">
        <v>90</v>
      </c>
      <c r="E161" s="111">
        <f>'Прил 11 Перечень мероприятий'!H144</f>
        <v>0</v>
      </c>
      <c r="F161" s="364"/>
    </row>
    <row r="162" spans="1:11" x14ac:dyDescent="0.25">
      <c r="A162" s="375"/>
      <c r="B162" s="329"/>
      <c r="C162" s="383"/>
      <c r="D162" s="283" t="s">
        <v>135</v>
      </c>
      <c r="E162" s="111">
        <f>'Прил 11 Перечень мероприятий'!I144</f>
        <v>0</v>
      </c>
      <c r="F162" s="364"/>
    </row>
    <row r="163" spans="1:11" x14ac:dyDescent="0.25">
      <c r="A163" s="375"/>
      <c r="B163" s="329"/>
      <c r="C163" s="383"/>
      <c r="D163" s="283" t="s">
        <v>152</v>
      </c>
      <c r="E163" s="111">
        <f>'Прил 11 Перечень мероприятий'!J144</f>
        <v>0</v>
      </c>
      <c r="F163" s="364"/>
    </row>
    <row r="164" spans="1:11" x14ac:dyDescent="0.25">
      <c r="A164" s="376"/>
      <c r="B164" s="329"/>
      <c r="C164" s="383"/>
      <c r="D164" s="283" t="s">
        <v>153</v>
      </c>
      <c r="E164" s="111">
        <f>'Прил 11 Перечень мероприятий'!K144</f>
        <v>0</v>
      </c>
      <c r="F164" s="364"/>
    </row>
    <row r="165" spans="1:11" x14ac:dyDescent="0.25">
      <c r="A165" s="374" t="s">
        <v>300</v>
      </c>
      <c r="B165" s="329" t="s">
        <v>132</v>
      </c>
      <c r="C165" s="377" t="s">
        <v>478</v>
      </c>
      <c r="D165" s="110" t="s">
        <v>91</v>
      </c>
      <c r="E165" s="99">
        <f>E166+E167+E168+E169+E170</f>
        <v>10469.200000000001</v>
      </c>
      <c r="F165" s="364"/>
      <c r="G165" s="211"/>
      <c r="H165" s="211"/>
      <c r="I165" s="211"/>
      <c r="J165" s="211"/>
      <c r="K165" s="211"/>
    </row>
    <row r="166" spans="1:11" x14ac:dyDescent="0.25">
      <c r="A166" s="375"/>
      <c r="B166" s="329"/>
      <c r="C166" s="378"/>
      <c r="D166" s="251" t="s">
        <v>5</v>
      </c>
      <c r="E166" s="111">
        <f>'Прил 11 Перечень мероприятий'!G147</f>
        <v>1915</v>
      </c>
      <c r="F166" s="364"/>
      <c r="G166" s="211"/>
      <c r="H166" s="211"/>
      <c r="I166" s="211"/>
      <c r="J166" s="211"/>
      <c r="K166" s="211"/>
    </row>
    <row r="167" spans="1:11" x14ac:dyDescent="0.25">
      <c r="A167" s="375"/>
      <c r="B167" s="329"/>
      <c r="C167" s="378"/>
      <c r="D167" s="251" t="s">
        <v>90</v>
      </c>
      <c r="E167" s="111">
        <f>'Прил 11 Перечень мероприятий'!H147</f>
        <v>2096.6</v>
      </c>
      <c r="F167" s="364"/>
      <c r="G167" s="211"/>
      <c r="H167" s="211"/>
      <c r="I167" s="211"/>
      <c r="J167" s="211"/>
      <c r="K167" s="211"/>
    </row>
    <row r="168" spans="1:11" x14ac:dyDescent="0.25">
      <c r="A168" s="375"/>
      <c r="B168" s="329"/>
      <c r="C168" s="378"/>
      <c r="D168" s="251" t="s">
        <v>135</v>
      </c>
      <c r="E168" s="111">
        <f>'Прил 11 Перечень мероприятий'!I147</f>
        <v>2096.6</v>
      </c>
      <c r="F168" s="364"/>
      <c r="G168" s="211"/>
      <c r="H168" s="211"/>
      <c r="I168" s="211"/>
      <c r="J168" s="211"/>
      <c r="K168" s="211"/>
    </row>
    <row r="169" spans="1:11" x14ac:dyDescent="0.25">
      <c r="A169" s="375"/>
      <c r="B169" s="329"/>
      <c r="C169" s="378"/>
      <c r="D169" s="251" t="s">
        <v>152</v>
      </c>
      <c r="E169" s="111">
        <f>'Прил 11 Перечень мероприятий'!J147</f>
        <v>2180.5</v>
      </c>
      <c r="F169" s="364"/>
      <c r="G169" s="211"/>
      <c r="H169" s="211"/>
      <c r="I169" s="211"/>
      <c r="J169" s="211"/>
      <c r="K169" s="211"/>
    </row>
    <row r="170" spans="1:11" x14ac:dyDescent="0.25">
      <c r="A170" s="376"/>
      <c r="B170" s="329"/>
      <c r="C170" s="379"/>
      <c r="D170" s="251" t="s">
        <v>153</v>
      </c>
      <c r="E170" s="111">
        <f>'Прил 11 Перечень мероприятий'!K147</f>
        <v>2180.5</v>
      </c>
      <c r="F170" s="364"/>
      <c r="G170" s="211"/>
      <c r="H170" s="211"/>
      <c r="I170" s="211"/>
      <c r="J170" s="211"/>
      <c r="K170" s="211"/>
    </row>
    <row r="171" spans="1:11" ht="40.5" customHeight="1" x14ac:dyDescent="0.25">
      <c r="A171" s="374" t="s">
        <v>305</v>
      </c>
      <c r="B171" s="329" t="s">
        <v>132</v>
      </c>
      <c r="C171" s="413" t="s">
        <v>486</v>
      </c>
      <c r="D171" s="110" t="s">
        <v>91</v>
      </c>
      <c r="E171" s="99">
        <f>E172+E173+E174+E175+E176</f>
        <v>9026.4</v>
      </c>
      <c r="F171" s="364"/>
      <c r="G171" s="214"/>
      <c r="H171" s="214"/>
      <c r="I171" s="214"/>
      <c r="J171" s="214"/>
      <c r="K171" s="214"/>
    </row>
    <row r="172" spans="1:11" ht="44.25" customHeight="1" x14ac:dyDescent="0.25">
      <c r="A172" s="375"/>
      <c r="B172" s="329"/>
      <c r="C172" s="414"/>
      <c r="D172" s="251" t="s">
        <v>5</v>
      </c>
      <c r="E172" s="111">
        <f>'Прил 11 Перечень мероприятий'!G151</f>
        <v>1270.1000000000001</v>
      </c>
      <c r="F172" s="364"/>
      <c r="G172" s="214"/>
      <c r="H172" s="214"/>
      <c r="I172" s="214"/>
      <c r="J172" s="214"/>
      <c r="K172" s="214"/>
    </row>
    <row r="173" spans="1:11" ht="39" customHeight="1" x14ac:dyDescent="0.25">
      <c r="A173" s="375"/>
      <c r="B173" s="329"/>
      <c r="C173" s="414"/>
      <c r="D173" s="251" t="s">
        <v>90</v>
      </c>
      <c r="E173" s="111">
        <f>'Прил 11 Перечень мероприятий'!H151</f>
        <v>443.9</v>
      </c>
      <c r="F173" s="364"/>
      <c r="G173" s="214"/>
      <c r="H173" s="214"/>
      <c r="I173" s="214"/>
      <c r="J173" s="214"/>
      <c r="K173" s="214"/>
    </row>
    <row r="174" spans="1:11" ht="35.25" customHeight="1" x14ac:dyDescent="0.25">
      <c r="A174" s="375"/>
      <c r="B174" s="329"/>
      <c r="C174" s="414"/>
      <c r="D174" s="251" t="s">
        <v>135</v>
      </c>
      <c r="E174" s="111">
        <f>'Прил 11 Перечень мероприятий'!I151</f>
        <v>605.20000000000005</v>
      </c>
      <c r="F174" s="364"/>
      <c r="G174" s="214"/>
      <c r="H174" s="214"/>
      <c r="I174" s="214"/>
      <c r="J174" s="214"/>
      <c r="K174" s="214"/>
    </row>
    <row r="175" spans="1:11" ht="39.75" customHeight="1" x14ac:dyDescent="0.25">
      <c r="A175" s="375"/>
      <c r="B175" s="329"/>
      <c r="C175" s="414"/>
      <c r="D175" s="251" t="s">
        <v>152</v>
      </c>
      <c r="E175" s="111">
        <f>'Прил 11 Перечень мероприятий'!J151</f>
        <v>3353.6</v>
      </c>
      <c r="F175" s="364"/>
      <c r="G175" s="214"/>
      <c r="H175" s="214"/>
      <c r="I175" s="214"/>
      <c r="J175" s="214"/>
      <c r="K175" s="214"/>
    </row>
    <row r="176" spans="1:11" ht="53.25" customHeight="1" x14ac:dyDescent="0.25">
      <c r="A176" s="376"/>
      <c r="B176" s="329"/>
      <c r="C176" s="415"/>
      <c r="D176" s="251" t="s">
        <v>153</v>
      </c>
      <c r="E176" s="111">
        <f>'Прил 11 Перечень мероприятий'!K151</f>
        <v>3353.6</v>
      </c>
      <c r="F176" s="364"/>
      <c r="G176" s="214"/>
      <c r="H176" s="214"/>
      <c r="I176" s="214"/>
      <c r="J176" s="214"/>
      <c r="K176" s="214"/>
    </row>
    <row r="177" spans="1:12" x14ac:dyDescent="0.25">
      <c r="A177" s="374" t="s">
        <v>308</v>
      </c>
      <c r="B177" s="329" t="s">
        <v>132</v>
      </c>
      <c r="C177" s="377" t="s">
        <v>479</v>
      </c>
      <c r="D177" s="110" t="s">
        <v>91</v>
      </c>
      <c r="E177" s="99">
        <f>E178+E179+E180+E181+E182</f>
        <v>665.9</v>
      </c>
      <c r="F177" s="364"/>
      <c r="G177" s="214"/>
      <c r="H177" s="214"/>
      <c r="I177" s="214"/>
      <c r="J177" s="214"/>
      <c r="K177" s="214"/>
      <c r="L177" s="214"/>
    </row>
    <row r="178" spans="1:12" x14ac:dyDescent="0.25">
      <c r="A178" s="375"/>
      <c r="B178" s="329"/>
      <c r="C178" s="378"/>
      <c r="D178" s="251" t="s">
        <v>5</v>
      </c>
      <c r="E178" s="111">
        <f>'Прил 11 Перечень мероприятий'!G155</f>
        <v>33.900000000000006</v>
      </c>
      <c r="F178" s="364"/>
      <c r="G178" s="214"/>
      <c r="H178" s="214"/>
      <c r="I178" s="214"/>
      <c r="J178" s="214"/>
      <c r="K178" s="214"/>
      <c r="L178" s="214"/>
    </row>
    <row r="179" spans="1:12" x14ac:dyDescent="0.25">
      <c r="A179" s="375"/>
      <c r="B179" s="329"/>
      <c r="C179" s="378"/>
      <c r="D179" s="251" t="s">
        <v>90</v>
      </c>
      <c r="E179" s="111">
        <f>'Прил 11 Перечень мероприятий'!H155</f>
        <v>158</v>
      </c>
      <c r="F179" s="364"/>
      <c r="G179" s="214"/>
      <c r="H179" s="214"/>
      <c r="I179" s="214"/>
      <c r="J179" s="214"/>
      <c r="K179" s="214"/>
      <c r="L179" s="214"/>
    </row>
    <row r="180" spans="1:12" x14ac:dyDescent="0.25">
      <c r="A180" s="375"/>
      <c r="B180" s="329"/>
      <c r="C180" s="378"/>
      <c r="D180" s="251" t="s">
        <v>135</v>
      </c>
      <c r="E180" s="111">
        <f>'Прил 11 Перечень мероприятий'!I155</f>
        <v>158</v>
      </c>
      <c r="F180" s="364"/>
      <c r="G180" s="214"/>
      <c r="H180" s="214"/>
      <c r="I180" s="214"/>
      <c r="J180" s="214"/>
      <c r="K180" s="214"/>
      <c r="L180" s="214"/>
    </row>
    <row r="181" spans="1:12" x14ac:dyDescent="0.25">
      <c r="A181" s="375"/>
      <c r="B181" s="329"/>
      <c r="C181" s="378"/>
      <c r="D181" s="251" t="s">
        <v>152</v>
      </c>
      <c r="E181" s="111">
        <f>'Прил 11 Перечень мероприятий'!J155</f>
        <v>158</v>
      </c>
      <c r="F181" s="364"/>
      <c r="G181" s="214"/>
      <c r="H181" s="214"/>
      <c r="I181" s="214"/>
      <c r="J181" s="214"/>
      <c r="K181" s="214"/>
      <c r="L181" s="214"/>
    </row>
    <row r="182" spans="1:12" x14ac:dyDescent="0.25">
      <c r="A182" s="376"/>
      <c r="B182" s="329"/>
      <c r="C182" s="379"/>
      <c r="D182" s="251" t="s">
        <v>153</v>
      </c>
      <c r="E182" s="111">
        <f>'Прил 11 Перечень мероприятий'!K155</f>
        <v>158</v>
      </c>
      <c r="F182" s="364"/>
      <c r="G182" s="214"/>
      <c r="H182" s="214"/>
      <c r="I182" s="214"/>
      <c r="J182" s="214"/>
      <c r="K182" s="214"/>
      <c r="L182" s="214"/>
    </row>
    <row r="183" spans="1:12" ht="18" customHeight="1" x14ac:dyDescent="0.25">
      <c r="A183" s="374" t="s">
        <v>361</v>
      </c>
      <c r="B183" s="329" t="s">
        <v>132</v>
      </c>
      <c r="C183" s="377" t="s">
        <v>605</v>
      </c>
      <c r="D183" s="110" t="s">
        <v>91</v>
      </c>
      <c r="E183" s="99">
        <f>E184+E185+E186+E187+E188</f>
        <v>6937.5999999999995</v>
      </c>
      <c r="F183" s="329"/>
      <c r="G183" s="215"/>
      <c r="H183" s="214"/>
      <c r="I183" s="214"/>
      <c r="J183" s="214"/>
      <c r="K183" s="214"/>
    </row>
    <row r="184" spans="1:12" ht="20.25" customHeight="1" x14ac:dyDescent="0.25">
      <c r="A184" s="375"/>
      <c r="B184" s="329"/>
      <c r="C184" s="378"/>
      <c r="D184" s="283" t="s">
        <v>5</v>
      </c>
      <c r="E184" s="111">
        <f>'Прил 11 Перечень мероприятий'!G159</f>
        <v>842.9</v>
      </c>
      <c r="F184" s="329"/>
      <c r="G184" s="215"/>
      <c r="H184" s="214"/>
      <c r="I184" s="214"/>
      <c r="J184" s="214"/>
      <c r="K184" s="214"/>
    </row>
    <row r="185" spans="1:12" ht="26.25" customHeight="1" x14ac:dyDescent="0.25">
      <c r="A185" s="375"/>
      <c r="B185" s="329"/>
      <c r="C185" s="378"/>
      <c r="D185" s="283" t="s">
        <v>90</v>
      </c>
      <c r="E185" s="111">
        <f>'Прил 11 Перечень мероприятий'!H159</f>
        <v>657.3</v>
      </c>
      <c r="F185" s="329"/>
      <c r="G185" s="215"/>
      <c r="H185" s="214"/>
      <c r="I185" s="214"/>
      <c r="J185" s="214"/>
      <c r="K185" s="214"/>
    </row>
    <row r="186" spans="1:12" ht="20.25" customHeight="1" x14ac:dyDescent="0.25">
      <c r="A186" s="375"/>
      <c r="B186" s="329"/>
      <c r="C186" s="378"/>
      <c r="D186" s="283" t="s">
        <v>135</v>
      </c>
      <c r="E186" s="111">
        <f>'Прил 11 Перечень мероприятий'!I159</f>
        <v>1622.1</v>
      </c>
      <c r="F186" s="329"/>
      <c r="G186" s="215"/>
      <c r="H186" s="214"/>
      <c r="I186" s="214"/>
      <c r="J186" s="214"/>
      <c r="K186" s="214"/>
    </row>
    <row r="187" spans="1:12" ht="20.25" customHeight="1" x14ac:dyDescent="0.25">
      <c r="A187" s="375"/>
      <c r="B187" s="329"/>
      <c r="C187" s="378"/>
      <c r="D187" s="283" t="s">
        <v>152</v>
      </c>
      <c r="E187" s="111">
        <f>'Прил 11 Перечень мероприятий'!J159</f>
        <v>1622.1</v>
      </c>
      <c r="F187" s="329"/>
      <c r="G187" s="215"/>
      <c r="H187" s="214"/>
      <c r="I187" s="214"/>
      <c r="J187" s="214"/>
      <c r="K187" s="214"/>
    </row>
    <row r="188" spans="1:12" ht="18.75" customHeight="1" x14ac:dyDescent="0.25">
      <c r="A188" s="376"/>
      <c r="B188" s="329"/>
      <c r="C188" s="379"/>
      <c r="D188" s="283" t="s">
        <v>153</v>
      </c>
      <c r="E188" s="111">
        <f>'Прил 11 Перечень мероприятий'!K159</f>
        <v>2193.1999999999998</v>
      </c>
      <c r="F188" s="329"/>
      <c r="G188" s="215"/>
      <c r="H188" s="214"/>
      <c r="I188" s="214"/>
      <c r="J188" s="214"/>
      <c r="K188" s="214"/>
    </row>
    <row r="189" spans="1:12" x14ac:dyDescent="0.25">
      <c r="A189" s="374" t="s">
        <v>284</v>
      </c>
      <c r="B189" s="329" t="s">
        <v>132</v>
      </c>
      <c r="C189" s="377" t="s">
        <v>480</v>
      </c>
      <c r="D189" s="110" t="s">
        <v>91</v>
      </c>
      <c r="E189" s="99">
        <f>E190+E191+E192+E193+E194</f>
        <v>4779.8</v>
      </c>
      <c r="F189" s="374"/>
    </row>
    <row r="190" spans="1:12" x14ac:dyDescent="0.25">
      <c r="A190" s="375"/>
      <c r="B190" s="329"/>
      <c r="C190" s="378"/>
      <c r="D190" s="283" t="s">
        <v>5</v>
      </c>
      <c r="E190" s="111">
        <f>'Прил 11 Перечень мероприятий'!G163</f>
        <v>947.4</v>
      </c>
      <c r="F190" s="375"/>
    </row>
    <row r="191" spans="1:12" x14ac:dyDescent="0.25">
      <c r="A191" s="375"/>
      <c r="B191" s="329"/>
      <c r="C191" s="378"/>
      <c r="D191" s="283" t="s">
        <v>90</v>
      </c>
      <c r="E191" s="111">
        <f>'Прил 11 Перечень мероприятий'!H163</f>
        <v>958.1</v>
      </c>
      <c r="F191" s="375"/>
    </row>
    <row r="192" spans="1:12" x14ac:dyDescent="0.25">
      <c r="A192" s="375"/>
      <c r="B192" s="329"/>
      <c r="C192" s="378"/>
      <c r="D192" s="283" t="s">
        <v>135</v>
      </c>
      <c r="E192" s="111">
        <f>'Прил 11 Перечень мероприятий'!I163</f>
        <v>958.1</v>
      </c>
      <c r="F192" s="375"/>
    </row>
    <row r="193" spans="1:11" x14ac:dyDescent="0.25">
      <c r="A193" s="375"/>
      <c r="B193" s="329"/>
      <c r="C193" s="378"/>
      <c r="D193" s="283" t="s">
        <v>152</v>
      </c>
      <c r="E193" s="111">
        <f>'Прил 11 Перечень мероприятий'!J163</f>
        <v>958.1</v>
      </c>
      <c r="F193" s="375"/>
    </row>
    <row r="194" spans="1:11" x14ac:dyDescent="0.25">
      <c r="A194" s="376"/>
      <c r="B194" s="329"/>
      <c r="C194" s="379"/>
      <c r="D194" s="283" t="s">
        <v>153</v>
      </c>
      <c r="E194" s="111">
        <f>'Прил 11 Перечень мероприятий'!K163</f>
        <v>958.1</v>
      </c>
      <c r="F194" s="376"/>
    </row>
    <row r="195" spans="1:11" x14ac:dyDescent="0.25">
      <c r="A195" s="374" t="s">
        <v>285</v>
      </c>
      <c r="B195" s="329" t="s">
        <v>132</v>
      </c>
      <c r="C195" s="377" t="s">
        <v>400</v>
      </c>
      <c r="D195" s="110" t="s">
        <v>91</v>
      </c>
      <c r="E195" s="99">
        <f>E196+E197+E198+E199+E200</f>
        <v>0</v>
      </c>
      <c r="F195" s="374"/>
    </row>
    <row r="196" spans="1:11" x14ac:dyDescent="0.25">
      <c r="A196" s="375"/>
      <c r="B196" s="329"/>
      <c r="C196" s="378"/>
      <c r="D196" s="283" t="s">
        <v>5</v>
      </c>
      <c r="E196" s="111">
        <f>'Прил 11 Перечень мероприятий'!G167+'Прил 11 Перечень мероприятий'!G167</f>
        <v>0</v>
      </c>
      <c r="F196" s="375"/>
    </row>
    <row r="197" spans="1:11" x14ac:dyDescent="0.25">
      <c r="A197" s="375"/>
      <c r="B197" s="329"/>
      <c r="C197" s="378"/>
      <c r="D197" s="283" t="s">
        <v>90</v>
      </c>
      <c r="E197" s="111">
        <f>'Прил 11 Перечень мероприятий'!H167</f>
        <v>0</v>
      </c>
      <c r="F197" s="375"/>
    </row>
    <row r="198" spans="1:11" x14ac:dyDescent="0.25">
      <c r="A198" s="375"/>
      <c r="B198" s="329"/>
      <c r="C198" s="378"/>
      <c r="D198" s="283" t="s">
        <v>135</v>
      </c>
      <c r="E198" s="111">
        <f>'Прил 11 Перечень мероприятий'!I167</f>
        <v>0</v>
      </c>
      <c r="F198" s="375"/>
    </row>
    <row r="199" spans="1:11" x14ac:dyDescent="0.25">
      <c r="A199" s="375"/>
      <c r="B199" s="329"/>
      <c r="C199" s="378"/>
      <c r="D199" s="283" t="s">
        <v>152</v>
      </c>
      <c r="E199" s="111">
        <f>'Прил 11 Перечень мероприятий'!J167</f>
        <v>0</v>
      </c>
      <c r="F199" s="375"/>
    </row>
    <row r="200" spans="1:11" x14ac:dyDescent="0.25">
      <c r="A200" s="376"/>
      <c r="B200" s="329"/>
      <c r="C200" s="379"/>
      <c r="D200" s="283" t="s">
        <v>153</v>
      </c>
      <c r="E200" s="111">
        <f>'Прил 11 Перечень мероприятий'!K167</f>
        <v>0</v>
      </c>
      <c r="F200" s="376"/>
    </row>
    <row r="201" spans="1:11" ht="21.75" customHeight="1" x14ac:dyDescent="0.25">
      <c r="A201" s="374" t="s">
        <v>286</v>
      </c>
      <c r="B201" s="329" t="s">
        <v>132</v>
      </c>
      <c r="C201" s="377" t="s">
        <v>401</v>
      </c>
      <c r="D201" s="110" t="s">
        <v>91</v>
      </c>
      <c r="E201" s="99">
        <f>E202+E203+E204+E205+E206</f>
        <v>55.5</v>
      </c>
      <c r="F201" s="374"/>
    </row>
    <row r="202" spans="1:11" x14ac:dyDescent="0.25">
      <c r="A202" s="375"/>
      <c r="B202" s="329"/>
      <c r="C202" s="378"/>
      <c r="D202" s="283" t="s">
        <v>5</v>
      </c>
      <c r="E202" s="111">
        <f>'Прил 11 Перечень мероприятий'!G171</f>
        <v>0</v>
      </c>
      <c r="F202" s="375"/>
    </row>
    <row r="203" spans="1:11" x14ac:dyDescent="0.25">
      <c r="A203" s="375"/>
      <c r="B203" s="329"/>
      <c r="C203" s="378"/>
      <c r="D203" s="283" t="s">
        <v>90</v>
      </c>
      <c r="E203" s="111">
        <f>'Прил 11 Перечень мероприятий'!H171</f>
        <v>0</v>
      </c>
      <c r="F203" s="375"/>
    </row>
    <row r="204" spans="1:11" x14ac:dyDescent="0.25">
      <c r="A204" s="375"/>
      <c r="B204" s="329"/>
      <c r="C204" s="378"/>
      <c r="D204" s="283" t="s">
        <v>135</v>
      </c>
      <c r="E204" s="111">
        <f>'Прил 11 Перечень мероприятий'!I170</f>
        <v>18.5</v>
      </c>
      <c r="F204" s="375"/>
    </row>
    <row r="205" spans="1:11" x14ac:dyDescent="0.25">
      <c r="A205" s="375"/>
      <c r="B205" s="329"/>
      <c r="C205" s="378"/>
      <c r="D205" s="283" t="s">
        <v>152</v>
      </c>
      <c r="E205" s="111">
        <f>'Прил 11 Перечень мероприятий'!J171</f>
        <v>18.5</v>
      </c>
      <c r="F205" s="375"/>
    </row>
    <row r="206" spans="1:11" x14ac:dyDescent="0.25">
      <c r="A206" s="376"/>
      <c r="B206" s="329"/>
      <c r="C206" s="379"/>
      <c r="D206" s="283" t="s">
        <v>153</v>
      </c>
      <c r="E206" s="111">
        <f>'Прил 11 Перечень мероприятий'!K171</f>
        <v>18.5</v>
      </c>
      <c r="F206" s="375"/>
    </row>
    <row r="207" spans="1:11" ht="29.25" customHeight="1" x14ac:dyDescent="0.25">
      <c r="A207" s="374" t="s">
        <v>287</v>
      </c>
      <c r="B207" s="329" t="s">
        <v>132</v>
      </c>
      <c r="C207" s="406" t="s">
        <v>597</v>
      </c>
      <c r="D207" s="110" t="s">
        <v>91</v>
      </c>
      <c r="E207" s="220">
        <f>E208+E209+E210+E211+E212</f>
        <v>4108.3999999999996</v>
      </c>
      <c r="F207" s="329"/>
      <c r="G207" s="216"/>
      <c r="H207" s="216"/>
      <c r="I207" s="216"/>
      <c r="J207" s="216"/>
      <c r="K207" s="216"/>
    </row>
    <row r="208" spans="1:11" ht="27.75" customHeight="1" x14ac:dyDescent="0.25">
      <c r="A208" s="375"/>
      <c r="B208" s="329"/>
      <c r="C208" s="378"/>
      <c r="D208" s="283" t="s">
        <v>5</v>
      </c>
      <c r="E208" s="217">
        <f>'Прил 11 Перечень мероприятий'!G175</f>
        <v>585.19999999999993</v>
      </c>
      <c r="F208" s="329"/>
      <c r="G208" s="216"/>
      <c r="H208" s="216"/>
      <c r="I208" s="216"/>
      <c r="J208" s="216"/>
      <c r="K208" s="216"/>
    </row>
    <row r="209" spans="1:11" ht="21.75" customHeight="1" x14ac:dyDescent="0.25">
      <c r="A209" s="375"/>
      <c r="B209" s="329"/>
      <c r="C209" s="378"/>
      <c r="D209" s="283" t="s">
        <v>90</v>
      </c>
      <c r="E209" s="217">
        <f>'Прил 11 Перечень мероприятий'!H175</f>
        <v>493.2</v>
      </c>
      <c r="F209" s="329"/>
      <c r="G209" s="216"/>
      <c r="H209" s="216"/>
      <c r="I209" s="216"/>
      <c r="J209" s="216"/>
      <c r="K209" s="216"/>
    </row>
    <row r="210" spans="1:11" ht="21.75" customHeight="1" x14ac:dyDescent="0.25">
      <c r="A210" s="375"/>
      <c r="B210" s="329"/>
      <c r="C210" s="378"/>
      <c r="D210" s="283" t="s">
        <v>135</v>
      </c>
      <c r="E210" s="217">
        <f>'Прил 11 Перечень мероприятий'!I175</f>
        <v>690</v>
      </c>
      <c r="F210" s="329"/>
      <c r="G210" s="216"/>
      <c r="H210" s="216"/>
      <c r="I210" s="216"/>
      <c r="J210" s="216"/>
      <c r="K210" s="216"/>
    </row>
    <row r="211" spans="1:11" ht="19.5" customHeight="1" x14ac:dyDescent="0.25">
      <c r="A211" s="375"/>
      <c r="B211" s="329"/>
      <c r="C211" s="378"/>
      <c r="D211" s="283" t="s">
        <v>152</v>
      </c>
      <c r="E211" s="217">
        <f>'Прил 11 Перечень мероприятий'!J175</f>
        <v>1170</v>
      </c>
      <c r="F211" s="329"/>
      <c r="G211" s="216"/>
      <c r="H211" s="216"/>
      <c r="I211" s="216"/>
      <c r="J211" s="216"/>
      <c r="K211" s="216"/>
    </row>
    <row r="212" spans="1:11" ht="26.25" customHeight="1" x14ac:dyDescent="0.25">
      <c r="A212" s="376"/>
      <c r="B212" s="329"/>
      <c r="C212" s="379"/>
      <c r="D212" s="283" t="s">
        <v>153</v>
      </c>
      <c r="E212" s="217">
        <f>'Прил 11 Перечень мероприятий'!K175</f>
        <v>1170</v>
      </c>
      <c r="F212" s="329"/>
      <c r="G212" s="216"/>
      <c r="H212" s="216"/>
      <c r="I212" s="216"/>
      <c r="J212" s="216"/>
      <c r="K212" s="216"/>
    </row>
    <row r="213" spans="1:11" ht="15" customHeight="1" x14ac:dyDescent="0.25">
      <c r="A213" s="374" t="s">
        <v>309</v>
      </c>
      <c r="B213" s="329" t="s">
        <v>132</v>
      </c>
      <c r="C213" s="377" t="s">
        <v>587</v>
      </c>
      <c r="D213" s="110" t="s">
        <v>91</v>
      </c>
      <c r="E213" s="99">
        <f>E214+E215+E216+E217+E218</f>
        <v>8170.6</v>
      </c>
      <c r="F213" s="375"/>
    </row>
    <row r="214" spans="1:11" x14ac:dyDescent="0.25">
      <c r="A214" s="375"/>
      <c r="B214" s="329"/>
      <c r="C214" s="378"/>
      <c r="D214" s="283" t="s">
        <v>5</v>
      </c>
      <c r="E214" s="111">
        <f>'Прил 11 Перечень мероприятий'!G179</f>
        <v>1273</v>
      </c>
      <c r="F214" s="375"/>
    </row>
    <row r="215" spans="1:11" x14ac:dyDescent="0.25">
      <c r="A215" s="375"/>
      <c r="B215" s="329"/>
      <c r="C215" s="378"/>
      <c r="D215" s="283" t="s">
        <v>90</v>
      </c>
      <c r="E215" s="111">
        <f>'Прил 11 Перечень мероприятий'!H179</f>
        <v>1452</v>
      </c>
      <c r="F215" s="375"/>
    </row>
    <row r="216" spans="1:11" x14ac:dyDescent="0.25">
      <c r="A216" s="375"/>
      <c r="B216" s="329"/>
      <c r="C216" s="378"/>
      <c r="D216" s="283" t="s">
        <v>135</v>
      </c>
      <c r="E216" s="111">
        <f>'Прил 11 Перечень мероприятий'!I179</f>
        <v>0</v>
      </c>
      <c r="F216" s="375"/>
    </row>
    <row r="217" spans="1:11" x14ac:dyDescent="0.25">
      <c r="A217" s="375"/>
      <c r="B217" s="329"/>
      <c r="C217" s="378"/>
      <c r="D217" s="283" t="s">
        <v>152</v>
      </c>
      <c r="E217" s="111">
        <f>'Прил 11 Перечень мероприятий'!J179</f>
        <v>2722.8</v>
      </c>
      <c r="F217" s="375"/>
    </row>
    <row r="218" spans="1:11" x14ac:dyDescent="0.25">
      <c r="A218" s="375"/>
      <c r="B218" s="329"/>
      <c r="C218" s="378"/>
      <c r="D218" s="283" t="s">
        <v>153</v>
      </c>
      <c r="E218" s="111">
        <f>'Прил 11 Перечень мероприятий'!K179</f>
        <v>2722.8</v>
      </c>
      <c r="F218" s="375"/>
    </row>
    <row r="219" spans="1:11" ht="15" customHeight="1" x14ac:dyDescent="0.25">
      <c r="A219" s="375"/>
      <c r="B219" s="329" t="s">
        <v>14</v>
      </c>
      <c r="C219" s="378"/>
      <c r="D219" s="110" t="s">
        <v>91</v>
      </c>
      <c r="E219" s="99">
        <f>E220+E221+E222+E223+E224</f>
        <v>0</v>
      </c>
      <c r="F219" s="375"/>
    </row>
    <row r="220" spans="1:11" x14ac:dyDescent="0.25">
      <c r="A220" s="375"/>
      <c r="B220" s="329"/>
      <c r="C220" s="378"/>
      <c r="D220" s="283" t="s">
        <v>5</v>
      </c>
      <c r="E220" s="111">
        <f>'Прил 11 Перечень мероприятий'!G180</f>
        <v>0</v>
      </c>
      <c r="F220" s="375"/>
    </row>
    <row r="221" spans="1:11" x14ac:dyDescent="0.25">
      <c r="A221" s="375"/>
      <c r="B221" s="329"/>
      <c r="C221" s="378"/>
      <c r="D221" s="283" t="s">
        <v>90</v>
      </c>
      <c r="E221" s="111">
        <f>'Прил 11 Перечень мероприятий'!H180</f>
        <v>0</v>
      </c>
      <c r="F221" s="375"/>
    </row>
    <row r="222" spans="1:11" x14ac:dyDescent="0.25">
      <c r="A222" s="375"/>
      <c r="B222" s="329"/>
      <c r="C222" s="378"/>
      <c r="D222" s="283" t="s">
        <v>135</v>
      </c>
      <c r="E222" s="111">
        <f>'Прил 11 Перечень мероприятий'!I180</f>
        <v>0</v>
      </c>
      <c r="F222" s="375"/>
    </row>
    <row r="223" spans="1:11" x14ac:dyDescent="0.25">
      <c r="A223" s="375"/>
      <c r="B223" s="329"/>
      <c r="C223" s="378"/>
      <c r="D223" s="283" t="s">
        <v>152</v>
      </c>
      <c r="E223" s="111">
        <f>'Прил 11 Перечень мероприятий'!J180</f>
        <v>0</v>
      </c>
      <c r="F223" s="375"/>
    </row>
    <row r="224" spans="1:11" x14ac:dyDescent="0.25">
      <c r="A224" s="375"/>
      <c r="B224" s="329"/>
      <c r="C224" s="378"/>
      <c r="D224" s="283" t="s">
        <v>153</v>
      </c>
      <c r="E224" s="111">
        <f>'Прил 11 Перечень мероприятий'!K180</f>
        <v>0</v>
      </c>
      <c r="F224" s="375"/>
    </row>
    <row r="225" spans="1:6" ht="15" customHeight="1" x14ac:dyDescent="0.25">
      <c r="A225" s="375"/>
      <c r="B225" s="329" t="s">
        <v>51</v>
      </c>
      <c r="C225" s="378"/>
      <c r="D225" s="110" t="s">
        <v>91</v>
      </c>
      <c r="E225" s="99">
        <f>E226+E227+E228+E229+E230</f>
        <v>0</v>
      </c>
      <c r="F225" s="375"/>
    </row>
    <row r="226" spans="1:6" x14ac:dyDescent="0.25">
      <c r="A226" s="375"/>
      <c r="B226" s="329"/>
      <c r="C226" s="378"/>
      <c r="D226" s="283" t="s">
        <v>5</v>
      </c>
      <c r="E226" s="111">
        <f>'Прил 11 Перечень мероприятий'!G181</f>
        <v>0</v>
      </c>
      <c r="F226" s="375"/>
    </row>
    <row r="227" spans="1:6" x14ac:dyDescent="0.25">
      <c r="A227" s="375"/>
      <c r="B227" s="329"/>
      <c r="C227" s="378"/>
      <c r="D227" s="283" t="s">
        <v>90</v>
      </c>
      <c r="E227" s="111">
        <f>'Прил 11 Перечень мероприятий'!H180</f>
        <v>0</v>
      </c>
      <c r="F227" s="375"/>
    </row>
    <row r="228" spans="1:6" x14ac:dyDescent="0.25">
      <c r="A228" s="375"/>
      <c r="B228" s="329"/>
      <c r="C228" s="378"/>
      <c r="D228" s="283" t="s">
        <v>135</v>
      </c>
      <c r="E228" s="111">
        <f>'Прил 11 Перечень мероприятий'!I181</f>
        <v>0</v>
      </c>
      <c r="F228" s="375"/>
    </row>
    <row r="229" spans="1:6" x14ac:dyDescent="0.25">
      <c r="A229" s="375"/>
      <c r="B229" s="329"/>
      <c r="C229" s="378"/>
      <c r="D229" s="283" t="s">
        <v>152</v>
      </c>
      <c r="E229" s="111">
        <f>'Прил 11 Перечень мероприятий'!J181</f>
        <v>0</v>
      </c>
      <c r="F229" s="375"/>
    </row>
    <row r="230" spans="1:6" x14ac:dyDescent="0.25">
      <c r="A230" s="376"/>
      <c r="B230" s="329"/>
      <c r="C230" s="379"/>
      <c r="D230" s="283" t="s">
        <v>153</v>
      </c>
      <c r="E230" s="111">
        <f>'Прил 11 Перечень мероприятий'!K181</f>
        <v>0</v>
      </c>
      <c r="F230" s="376"/>
    </row>
    <row r="231" spans="1:6" x14ac:dyDescent="0.25">
      <c r="A231" s="374" t="s">
        <v>391</v>
      </c>
      <c r="B231" s="329" t="s">
        <v>14</v>
      </c>
      <c r="C231" s="397" t="s">
        <v>481</v>
      </c>
      <c r="D231" s="110" t="s">
        <v>91</v>
      </c>
      <c r="E231" s="99">
        <f>E232+E233+E234+E235+E236</f>
        <v>570</v>
      </c>
      <c r="F231" s="374"/>
    </row>
    <row r="232" spans="1:6" x14ac:dyDescent="0.25">
      <c r="A232" s="375"/>
      <c r="B232" s="329"/>
      <c r="C232" s="383"/>
      <c r="D232" s="283" t="s">
        <v>5</v>
      </c>
      <c r="E232" s="111">
        <f>'Прил 11 Перечень мероприятий'!G184</f>
        <v>570</v>
      </c>
      <c r="F232" s="375"/>
    </row>
    <row r="233" spans="1:6" x14ac:dyDescent="0.25">
      <c r="A233" s="375"/>
      <c r="B233" s="329"/>
      <c r="C233" s="383"/>
      <c r="D233" s="283" t="s">
        <v>90</v>
      </c>
      <c r="E233" s="111">
        <f>'Прил 11 Перечень мероприятий'!H184</f>
        <v>0</v>
      </c>
      <c r="F233" s="375"/>
    </row>
    <row r="234" spans="1:6" x14ac:dyDescent="0.25">
      <c r="A234" s="375"/>
      <c r="B234" s="329"/>
      <c r="C234" s="383"/>
      <c r="D234" s="283" t="s">
        <v>135</v>
      </c>
      <c r="E234" s="111">
        <f>'Прил 11 Перечень мероприятий'!I184</f>
        <v>0</v>
      </c>
      <c r="F234" s="375"/>
    </row>
    <row r="235" spans="1:6" x14ac:dyDescent="0.25">
      <c r="A235" s="375"/>
      <c r="B235" s="329"/>
      <c r="C235" s="383"/>
      <c r="D235" s="283" t="s">
        <v>152</v>
      </c>
      <c r="E235" s="111">
        <f>'Прил 11 Перечень мероприятий'!J184</f>
        <v>0</v>
      </c>
      <c r="F235" s="375"/>
    </row>
    <row r="236" spans="1:6" x14ac:dyDescent="0.25">
      <c r="A236" s="376"/>
      <c r="B236" s="329"/>
      <c r="C236" s="383"/>
      <c r="D236" s="283" t="s">
        <v>153</v>
      </c>
      <c r="E236" s="111">
        <f>'Прил 11 Перечень мероприятий'!K184</f>
        <v>0</v>
      </c>
      <c r="F236" s="376"/>
    </row>
    <row r="237" spans="1:6" ht="27.75" customHeight="1" x14ac:dyDescent="0.25">
      <c r="A237" s="384" t="s">
        <v>227</v>
      </c>
      <c r="B237" s="395"/>
      <c r="C237" s="395"/>
      <c r="D237" s="395"/>
      <c r="E237" s="395"/>
      <c r="F237" s="396"/>
    </row>
    <row r="238" spans="1:6" ht="15" customHeight="1" x14ac:dyDescent="0.25">
      <c r="A238" s="374" t="s">
        <v>311</v>
      </c>
      <c r="B238" s="329" t="s">
        <v>132</v>
      </c>
      <c r="C238" s="377" t="s">
        <v>482</v>
      </c>
      <c r="D238" s="110" t="s">
        <v>91</v>
      </c>
      <c r="E238" s="99">
        <f>E239+E240+E241+E242+E243</f>
        <v>185</v>
      </c>
      <c r="F238" s="364"/>
    </row>
    <row r="239" spans="1:6" x14ac:dyDescent="0.25">
      <c r="A239" s="375"/>
      <c r="B239" s="329"/>
      <c r="C239" s="378"/>
      <c r="D239" s="251" t="s">
        <v>5</v>
      </c>
      <c r="E239" s="111">
        <f>'Прил 11 Перечень мероприятий'!G191</f>
        <v>185</v>
      </c>
      <c r="F239" s="364"/>
    </row>
    <row r="240" spans="1:6" x14ac:dyDescent="0.25">
      <c r="A240" s="375"/>
      <c r="B240" s="329"/>
      <c r="C240" s="378"/>
      <c r="D240" s="251" t="s">
        <v>90</v>
      </c>
      <c r="E240" s="111">
        <f>'Прил 11 Перечень мероприятий'!H191</f>
        <v>0</v>
      </c>
      <c r="F240" s="364"/>
    </row>
    <row r="241" spans="1:6" x14ac:dyDescent="0.25">
      <c r="A241" s="375"/>
      <c r="B241" s="329"/>
      <c r="C241" s="378"/>
      <c r="D241" s="251" t="s">
        <v>135</v>
      </c>
      <c r="E241" s="111">
        <f>'Прил 11 Перечень мероприятий'!I191</f>
        <v>0</v>
      </c>
      <c r="F241" s="364"/>
    </row>
    <row r="242" spans="1:6" x14ac:dyDescent="0.25">
      <c r="A242" s="375"/>
      <c r="B242" s="329"/>
      <c r="C242" s="378"/>
      <c r="D242" s="251" t="s">
        <v>152</v>
      </c>
      <c r="E242" s="111">
        <f>'Прил 11 Перечень мероприятий'!J191</f>
        <v>0</v>
      </c>
      <c r="F242" s="364"/>
    </row>
    <row r="243" spans="1:6" x14ac:dyDescent="0.25">
      <c r="A243" s="376"/>
      <c r="B243" s="329"/>
      <c r="C243" s="379"/>
      <c r="D243" s="251" t="s">
        <v>153</v>
      </c>
      <c r="E243" s="111">
        <f>'Прил 11 Перечень мероприятий'!K191</f>
        <v>0</v>
      </c>
      <c r="F243" s="364"/>
    </row>
    <row r="244" spans="1:6" ht="15" customHeight="1" x14ac:dyDescent="0.25">
      <c r="A244" s="374" t="s">
        <v>317</v>
      </c>
      <c r="B244" s="329" t="s">
        <v>132</v>
      </c>
      <c r="C244" s="377" t="s">
        <v>604</v>
      </c>
      <c r="D244" s="110" t="s">
        <v>91</v>
      </c>
      <c r="E244" s="99">
        <f>E245+E246+E247+E248+E249</f>
        <v>2013.2</v>
      </c>
      <c r="F244" s="364"/>
    </row>
    <row r="245" spans="1:6" x14ac:dyDescent="0.25">
      <c r="A245" s="375"/>
      <c r="B245" s="329"/>
      <c r="C245" s="378"/>
      <c r="D245" s="251" t="s">
        <v>5</v>
      </c>
      <c r="E245" s="111">
        <f>'Прил 11 Перечень мероприятий'!G195</f>
        <v>417.9</v>
      </c>
      <c r="F245" s="364"/>
    </row>
    <row r="246" spans="1:6" x14ac:dyDescent="0.25">
      <c r="A246" s="375"/>
      <c r="B246" s="329"/>
      <c r="C246" s="378"/>
      <c r="D246" s="251" t="s">
        <v>90</v>
      </c>
      <c r="E246" s="111">
        <f>'Прил 11 Перечень мероприятий'!H195</f>
        <v>245.3</v>
      </c>
      <c r="F246" s="364"/>
    </row>
    <row r="247" spans="1:6" x14ac:dyDescent="0.25">
      <c r="A247" s="375"/>
      <c r="B247" s="329"/>
      <c r="C247" s="378"/>
      <c r="D247" s="251" t="s">
        <v>135</v>
      </c>
      <c r="E247" s="111">
        <f>'Прил 11 Перечень мероприятий'!I195</f>
        <v>450</v>
      </c>
      <c r="F247" s="364"/>
    </row>
    <row r="248" spans="1:6" x14ac:dyDescent="0.25">
      <c r="A248" s="375"/>
      <c r="B248" s="329"/>
      <c r="C248" s="378"/>
      <c r="D248" s="251" t="s">
        <v>152</v>
      </c>
      <c r="E248" s="111">
        <f>'Прил 11 Перечень мероприятий'!J195</f>
        <v>450</v>
      </c>
      <c r="F248" s="364"/>
    </row>
    <row r="249" spans="1:6" x14ac:dyDescent="0.25">
      <c r="A249" s="376"/>
      <c r="B249" s="329"/>
      <c r="C249" s="379"/>
      <c r="D249" s="251" t="s">
        <v>153</v>
      </c>
      <c r="E249" s="111">
        <f>'Прил 11 Перечень мероприятий'!K195</f>
        <v>450</v>
      </c>
      <c r="F249" s="364"/>
    </row>
    <row r="250" spans="1:6" ht="15" customHeight="1" x14ac:dyDescent="0.25">
      <c r="A250" s="374" t="s">
        <v>316</v>
      </c>
      <c r="B250" s="329" t="s">
        <v>132</v>
      </c>
      <c r="C250" s="377" t="s">
        <v>484</v>
      </c>
      <c r="D250" s="110" t="s">
        <v>91</v>
      </c>
      <c r="E250" s="99">
        <f>E251+E252+E253+E254+E255</f>
        <v>80</v>
      </c>
      <c r="F250" s="364"/>
    </row>
    <row r="251" spans="1:6" x14ac:dyDescent="0.25">
      <c r="A251" s="375"/>
      <c r="B251" s="329"/>
      <c r="C251" s="378"/>
      <c r="D251" s="251" t="s">
        <v>5</v>
      </c>
      <c r="E251" s="111">
        <f>'Прил 11 Перечень мероприятий'!G199</f>
        <v>80</v>
      </c>
      <c r="F251" s="364"/>
    </row>
    <row r="252" spans="1:6" x14ac:dyDescent="0.25">
      <c r="A252" s="375"/>
      <c r="B252" s="329"/>
      <c r="C252" s="378"/>
      <c r="D252" s="251" t="s">
        <v>90</v>
      </c>
      <c r="E252" s="111">
        <f>'Прил 11 Перечень мероприятий'!H199</f>
        <v>0</v>
      </c>
      <c r="F252" s="364"/>
    </row>
    <row r="253" spans="1:6" x14ac:dyDescent="0.25">
      <c r="A253" s="375"/>
      <c r="B253" s="329"/>
      <c r="C253" s="378"/>
      <c r="D253" s="251" t="s">
        <v>135</v>
      </c>
      <c r="E253" s="111">
        <f>'Прил 11 Перечень мероприятий'!I199</f>
        <v>0</v>
      </c>
      <c r="F253" s="364"/>
    </row>
    <row r="254" spans="1:6" x14ac:dyDescent="0.25">
      <c r="A254" s="375"/>
      <c r="B254" s="329"/>
      <c r="C254" s="378"/>
      <c r="D254" s="251" t="s">
        <v>152</v>
      </c>
      <c r="E254" s="111">
        <f>'Прил 11 Перечень мероприятий'!J199</f>
        <v>0</v>
      </c>
      <c r="F254" s="364"/>
    </row>
    <row r="255" spans="1:6" x14ac:dyDescent="0.25">
      <c r="A255" s="376"/>
      <c r="B255" s="329"/>
      <c r="C255" s="379"/>
      <c r="D255" s="251" t="s">
        <v>153</v>
      </c>
      <c r="E255" s="111">
        <f>'Прил 11 Перечень мероприятий'!K199</f>
        <v>0</v>
      </c>
      <c r="F255" s="364"/>
    </row>
    <row r="256" spans="1:6" ht="15" customHeight="1" x14ac:dyDescent="0.25">
      <c r="A256" s="374" t="s">
        <v>362</v>
      </c>
      <c r="B256" s="329" t="s">
        <v>132</v>
      </c>
      <c r="C256" s="377" t="s">
        <v>483</v>
      </c>
      <c r="D256" s="110" t="s">
        <v>91</v>
      </c>
      <c r="E256" s="99">
        <f>E257+E258+E259+E260+E261</f>
        <v>1139.3</v>
      </c>
      <c r="F256" s="364"/>
    </row>
    <row r="257" spans="1:13" x14ac:dyDescent="0.25">
      <c r="A257" s="375"/>
      <c r="B257" s="329"/>
      <c r="C257" s="378"/>
      <c r="D257" s="251" t="s">
        <v>5</v>
      </c>
      <c r="E257" s="111">
        <f>'Прил 11 Перечень мероприятий'!G203</f>
        <v>200</v>
      </c>
      <c r="F257" s="364"/>
    </row>
    <row r="258" spans="1:13" x14ac:dyDescent="0.25">
      <c r="A258" s="375"/>
      <c r="B258" s="329"/>
      <c r="C258" s="378"/>
      <c r="D258" s="251" t="s">
        <v>90</v>
      </c>
      <c r="E258" s="111">
        <f>'Прил 11 Перечень мероприятий'!H203</f>
        <v>210.3</v>
      </c>
      <c r="F258" s="364"/>
    </row>
    <row r="259" spans="1:13" x14ac:dyDescent="0.25">
      <c r="A259" s="375"/>
      <c r="B259" s="329"/>
      <c r="C259" s="378"/>
      <c r="D259" s="251" t="s">
        <v>135</v>
      </c>
      <c r="E259" s="111">
        <f>'Прил 11 Перечень мероприятий'!I203</f>
        <v>243</v>
      </c>
      <c r="F259" s="364"/>
    </row>
    <row r="260" spans="1:13" x14ac:dyDescent="0.25">
      <c r="A260" s="375"/>
      <c r="B260" s="329"/>
      <c r="C260" s="378"/>
      <c r="D260" s="251" t="s">
        <v>152</v>
      </c>
      <c r="E260" s="111">
        <f>'Прил 11 Перечень мероприятий'!J203</f>
        <v>243</v>
      </c>
      <c r="F260" s="364"/>
    </row>
    <row r="261" spans="1:13" x14ac:dyDescent="0.25">
      <c r="A261" s="376"/>
      <c r="B261" s="329"/>
      <c r="C261" s="378"/>
      <c r="D261" s="251" t="s">
        <v>153</v>
      </c>
      <c r="E261" s="111">
        <f>'Прил 11 Перечень мероприятий'!K203</f>
        <v>243</v>
      </c>
      <c r="F261" s="364"/>
    </row>
    <row r="262" spans="1:13" ht="25.5" customHeight="1" x14ac:dyDescent="0.25">
      <c r="A262" s="374" t="s">
        <v>318</v>
      </c>
      <c r="B262" s="329" t="s">
        <v>132</v>
      </c>
      <c r="C262" s="377" t="s">
        <v>595</v>
      </c>
      <c r="D262" s="110" t="s">
        <v>91</v>
      </c>
      <c r="E262" s="99">
        <f>E263+E264+E265+E266+E267</f>
        <v>11541.300000000001</v>
      </c>
      <c r="F262" s="364"/>
    </row>
    <row r="263" spans="1:13" ht="29.25" customHeight="1" x14ac:dyDescent="0.25">
      <c r="A263" s="375"/>
      <c r="B263" s="329"/>
      <c r="C263" s="378"/>
      <c r="D263" s="267" t="s">
        <v>5</v>
      </c>
      <c r="E263" s="111">
        <f>'Прил 11 Перечень мероприятий'!G207</f>
        <v>756.7</v>
      </c>
      <c r="F263" s="364"/>
    </row>
    <row r="264" spans="1:13" ht="26.25" customHeight="1" x14ac:dyDescent="0.25">
      <c r="A264" s="375"/>
      <c r="B264" s="329"/>
      <c r="C264" s="378"/>
      <c r="D264" s="267" t="s">
        <v>90</v>
      </c>
      <c r="E264" s="111">
        <f>'Прил 11 Перечень мероприятий'!H207</f>
        <v>1931.4</v>
      </c>
      <c r="F264" s="364"/>
    </row>
    <row r="265" spans="1:13" ht="22.5" customHeight="1" x14ac:dyDescent="0.25">
      <c r="A265" s="375"/>
      <c r="B265" s="329"/>
      <c r="C265" s="378"/>
      <c r="D265" s="267" t="s">
        <v>135</v>
      </c>
      <c r="E265" s="111">
        <f>'Прил 11 Перечень мероприятий'!I207</f>
        <v>0</v>
      </c>
      <c r="F265" s="364"/>
    </row>
    <row r="266" spans="1:13" ht="27.75" customHeight="1" x14ac:dyDescent="0.25">
      <c r="A266" s="375"/>
      <c r="B266" s="329"/>
      <c r="C266" s="378"/>
      <c r="D266" s="267" t="s">
        <v>152</v>
      </c>
      <c r="E266" s="111">
        <f>'Прил 11 Перечень мероприятий'!J207</f>
        <v>4426.6000000000004</v>
      </c>
      <c r="F266" s="364"/>
    </row>
    <row r="267" spans="1:13" ht="39" customHeight="1" x14ac:dyDescent="0.25">
      <c r="A267" s="376"/>
      <c r="B267" s="329"/>
      <c r="C267" s="378"/>
      <c r="D267" s="267" t="s">
        <v>153</v>
      </c>
      <c r="E267" s="111">
        <f>'Прил 11 Перечень мероприятий'!K207</f>
        <v>4426.6000000000004</v>
      </c>
      <c r="F267" s="364"/>
    </row>
    <row r="268" spans="1:13" ht="15" customHeight="1" x14ac:dyDescent="0.25">
      <c r="A268" s="374" t="s">
        <v>368</v>
      </c>
      <c r="B268" s="329" t="s">
        <v>132</v>
      </c>
      <c r="C268" s="377" t="s">
        <v>596</v>
      </c>
      <c r="D268" s="110" t="s">
        <v>91</v>
      </c>
      <c r="E268" s="99">
        <f>E269+E270+E271+E272+E273</f>
        <v>2216.83</v>
      </c>
      <c r="F268" s="364"/>
      <c r="H268" s="213"/>
      <c r="I268" s="213"/>
      <c r="J268" s="213"/>
      <c r="K268" s="213"/>
      <c r="L268" s="213"/>
      <c r="M268" s="213"/>
    </row>
    <row r="269" spans="1:13" x14ac:dyDescent="0.25">
      <c r="A269" s="375"/>
      <c r="B269" s="329"/>
      <c r="C269" s="378"/>
      <c r="D269" s="267" t="s">
        <v>5</v>
      </c>
      <c r="E269" s="111">
        <f>'Прил 11 Перечень мероприятий'!G211</f>
        <v>224.13</v>
      </c>
      <c r="F269" s="364"/>
      <c r="H269" s="213"/>
      <c r="I269" s="213"/>
      <c r="J269" s="213"/>
      <c r="K269" s="213"/>
      <c r="L269" s="213"/>
      <c r="M269" s="213"/>
    </row>
    <row r="270" spans="1:13" x14ac:dyDescent="0.25">
      <c r="A270" s="375"/>
      <c r="B270" s="329"/>
      <c r="C270" s="378"/>
      <c r="D270" s="267" t="s">
        <v>90</v>
      </c>
      <c r="E270" s="111">
        <f>'Прил 11 Перечень мероприятий'!H211</f>
        <v>749.69999999999993</v>
      </c>
      <c r="F270" s="364"/>
      <c r="H270" s="213"/>
      <c r="I270" s="213"/>
      <c r="J270" s="213"/>
      <c r="K270" s="213"/>
      <c r="L270" s="213"/>
      <c r="M270" s="213"/>
    </row>
    <row r="271" spans="1:13" x14ac:dyDescent="0.25">
      <c r="A271" s="375"/>
      <c r="B271" s="329"/>
      <c r="C271" s="378"/>
      <c r="D271" s="267" t="s">
        <v>135</v>
      </c>
      <c r="E271" s="111">
        <f>'Прил 11 Перечень мероприятий'!I211</f>
        <v>671.9</v>
      </c>
      <c r="F271" s="364"/>
      <c r="H271" s="213"/>
      <c r="I271" s="213"/>
      <c r="J271" s="213"/>
      <c r="K271" s="213"/>
      <c r="L271" s="213"/>
      <c r="M271" s="213"/>
    </row>
    <row r="272" spans="1:13" x14ac:dyDescent="0.25">
      <c r="A272" s="375"/>
      <c r="B272" s="329"/>
      <c r="C272" s="378"/>
      <c r="D272" s="267" t="s">
        <v>152</v>
      </c>
      <c r="E272" s="111">
        <f>'Прил 11 Перечень мероприятий'!J211</f>
        <v>571.1</v>
      </c>
      <c r="F272" s="364"/>
      <c r="H272" s="213"/>
      <c r="I272" s="213"/>
      <c r="J272" s="213"/>
      <c r="K272" s="213"/>
      <c r="L272" s="213"/>
      <c r="M272" s="213"/>
    </row>
    <row r="273" spans="1:13" x14ac:dyDescent="0.25">
      <c r="A273" s="376"/>
      <c r="B273" s="329"/>
      <c r="C273" s="379"/>
      <c r="D273" s="267" t="s">
        <v>153</v>
      </c>
      <c r="E273" s="111">
        <f>'Прил 11 Перечень мероприятий'!K211</f>
        <v>0</v>
      </c>
      <c r="F273" s="364"/>
      <c r="H273" s="213"/>
      <c r="I273" s="213"/>
      <c r="J273" s="213"/>
      <c r="K273" s="213"/>
      <c r="L273" s="213"/>
      <c r="M273" s="213"/>
    </row>
    <row r="274" spans="1:13" ht="30" customHeight="1" x14ac:dyDescent="0.25">
      <c r="A274" s="389" t="s">
        <v>187</v>
      </c>
      <c r="B274" s="390"/>
      <c r="C274" s="390"/>
      <c r="D274" s="390"/>
      <c r="E274" s="390"/>
      <c r="F274" s="391"/>
      <c r="H274" s="213"/>
      <c r="I274" s="213"/>
      <c r="J274" s="213"/>
      <c r="K274" s="213"/>
      <c r="L274" s="213"/>
      <c r="M274" s="213"/>
    </row>
    <row r="275" spans="1:13" ht="24.75" customHeight="1" x14ac:dyDescent="0.25">
      <c r="A275" s="384" t="s">
        <v>168</v>
      </c>
      <c r="B275" s="395"/>
      <c r="C275" s="395"/>
      <c r="D275" s="395"/>
      <c r="E275" s="395"/>
      <c r="F275" s="396"/>
      <c r="H275" s="213"/>
      <c r="I275" s="213"/>
      <c r="J275" s="213"/>
      <c r="K275" s="213"/>
      <c r="L275" s="213"/>
      <c r="M275" s="213"/>
    </row>
    <row r="276" spans="1:13" x14ac:dyDescent="0.25">
      <c r="A276" s="374" t="s">
        <v>297</v>
      </c>
      <c r="B276" s="329" t="s">
        <v>132</v>
      </c>
      <c r="C276" s="401" t="s">
        <v>601</v>
      </c>
      <c r="D276" s="110" t="s">
        <v>91</v>
      </c>
      <c r="E276" s="98">
        <f>E277+E278+E279+E280+E281</f>
        <v>571674.5</v>
      </c>
      <c r="F276" s="364"/>
    </row>
    <row r="277" spans="1:13" x14ac:dyDescent="0.25">
      <c r="A277" s="375"/>
      <c r="B277" s="329"/>
      <c r="C277" s="402"/>
      <c r="D277" s="283" t="s">
        <v>5</v>
      </c>
      <c r="E277" s="111">
        <f>'Прил 11 Перечень мероприятий'!G228</f>
        <v>101724.20000000001</v>
      </c>
      <c r="F277" s="364"/>
    </row>
    <row r="278" spans="1:13" x14ac:dyDescent="0.25">
      <c r="A278" s="375"/>
      <c r="B278" s="329"/>
      <c r="C278" s="402"/>
      <c r="D278" s="283" t="s">
        <v>90</v>
      </c>
      <c r="E278" s="111">
        <f>'Прил 11 Перечень мероприятий'!H228</f>
        <v>112141.6</v>
      </c>
      <c r="F278" s="364"/>
    </row>
    <row r="279" spans="1:13" x14ac:dyDescent="0.25">
      <c r="A279" s="375"/>
      <c r="B279" s="329"/>
      <c r="C279" s="402"/>
      <c r="D279" s="283" t="s">
        <v>135</v>
      </c>
      <c r="E279" s="111">
        <f>'Прил 11 Перечень мероприятий'!I228</f>
        <v>117173.3</v>
      </c>
      <c r="F279" s="364"/>
    </row>
    <row r="280" spans="1:13" x14ac:dyDescent="0.25">
      <c r="A280" s="375"/>
      <c r="B280" s="329"/>
      <c r="C280" s="402"/>
      <c r="D280" s="283" t="s">
        <v>152</v>
      </c>
      <c r="E280" s="111">
        <f>'Прил 11 Перечень мероприятий'!J228</f>
        <v>117173.3</v>
      </c>
      <c r="F280" s="364"/>
    </row>
    <row r="281" spans="1:13" x14ac:dyDescent="0.25">
      <c r="A281" s="375"/>
      <c r="B281" s="329"/>
      <c r="C281" s="402"/>
      <c r="D281" s="283" t="s">
        <v>153</v>
      </c>
      <c r="E281" s="111">
        <f>'Прил 11 Перечень мероприятий'!K228</f>
        <v>123462.1</v>
      </c>
      <c r="F281" s="364"/>
    </row>
    <row r="282" spans="1:13" ht="15" customHeight="1" x14ac:dyDescent="0.25">
      <c r="A282" s="409" t="s">
        <v>323</v>
      </c>
      <c r="B282" s="329" t="s">
        <v>132</v>
      </c>
      <c r="C282" s="383" t="s">
        <v>485</v>
      </c>
      <c r="D282" s="110" t="s">
        <v>91</v>
      </c>
      <c r="E282" s="99">
        <f>E283+E284+E285+E286+E287</f>
        <v>1140.7</v>
      </c>
      <c r="F282" s="364"/>
    </row>
    <row r="283" spans="1:13" x14ac:dyDescent="0.25">
      <c r="A283" s="424"/>
      <c r="B283" s="329"/>
      <c r="C283" s="383"/>
      <c r="D283" s="283" t="s">
        <v>5</v>
      </c>
      <c r="E283" s="111">
        <f>'Прил 11 Перечень мероприятий'!G232</f>
        <v>1140.7</v>
      </c>
      <c r="F283" s="364"/>
    </row>
    <row r="284" spans="1:13" x14ac:dyDescent="0.25">
      <c r="A284" s="424"/>
      <c r="B284" s="329"/>
      <c r="C284" s="383"/>
      <c r="D284" s="283" t="s">
        <v>90</v>
      </c>
      <c r="E284" s="111">
        <f>'Прил 11 Перечень мероприятий'!H232</f>
        <v>0</v>
      </c>
      <c r="F284" s="364"/>
    </row>
    <row r="285" spans="1:13" x14ac:dyDescent="0.25">
      <c r="A285" s="424"/>
      <c r="B285" s="329"/>
      <c r="C285" s="383"/>
      <c r="D285" s="283" t="s">
        <v>135</v>
      </c>
      <c r="E285" s="111">
        <f>'Прил 11 Перечень мероприятий'!I232</f>
        <v>0</v>
      </c>
      <c r="F285" s="364"/>
    </row>
    <row r="286" spans="1:13" x14ac:dyDescent="0.25">
      <c r="A286" s="424"/>
      <c r="B286" s="329"/>
      <c r="C286" s="383"/>
      <c r="D286" s="283" t="s">
        <v>152</v>
      </c>
      <c r="E286" s="111">
        <f>'Прил 11 Перечень мероприятий'!J232</f>
        <v>0</v>
      </c>
      <c r="F286" s="364"/>
    </row>
    <row r="287" spans="1:13" x14ac:dyDescent="0.25">
      <c r="A287" s="424"/>
      <c r="B287" s="329"/>
      <c r="C287" s="383"/>
      <c r="D287" s="283" t="s">
        <v>153</v>
      </c>
      <c r="E287" s="111">
        <f>'Прил 11 Перечень мероприятий'!K232</f>
        <v>0</v>
      </c>
      <c r="F287" s="364"/>
    </row>
    <row r="288" spans="1:13" x14ac:dyDescent="0.25">
      <c r="A288" s="424"/>
      <c r="B288" s="329" t="s">
        <v>14</v>
      </c>
      <c r="C288" s="383" t="s">
        <v>485</v>
      </c>
      <c r="D288" s="110" t="s">
        <v>91</v>
      </c>
      <c r="E288" s="99">
        <f>E289+E290+E291+E292+E293</f>
        <v>10095.200000000001</v>
      </c>
      <c r="F288" s="364"/>
    </row>
    <row r="289" spans="1:12" x14ac:dyDescent="0.25">
      <c r="A289" s="424"/>
      <c r="B289" s="329"/>
      <c r="C289" s="383"/>
      <c r="D289" s="283" t="s">
        <v>5</v>
      </c>
      <c r="E289" s="111">
        <f>'Прил 11 Перечень мероприятий'!G233</f>
        <v>10095.200000000001</v>
      </c>
      <c r="F289" s="364"/>
    </row>
    <row r="290" spans="1:12" x14ac:dyDescent="0.25">
      <c r="A290" s="424"/>
      <c r="B290" s="329"/>
      <c r="C290" s="383"/>
      <c r="D290" s="283" t="s">
        <v>90</v>
      </c>
      <c r="E290" s="111">
        <f>'Прил 11 Перечень мероприятий'!H233</f>
        <v>0</v>
      </c>
      <c r="F290" s="364"/>
    </row>
    <row r="291" spans="1:12" x14ac:dyDescent="0.25">
      <c r="A291" s="424"/>
      <c r="B291" s="329"/>
      <c r="C291" s="383"/>
      <c r="D291" s="283" t="s">
        <v>135</v>
      </c>
      <c r="E291" s="111">
        <f>'Прил 11 Перечень мероприятий'!I233</f>
        <v>0</v>
      </c>
      <c r="F291" s="364"/>
    </row>
    <row r="292" spans="1:12" x14ac:dyDescent="0.25">
      <c r="A292" s="424"/>
      <c r="B292" s="329"/>
      <c r="C292" s="383"/>
      <c r="D292" s="283" t="s">
        <v>152</v>
      </c>
      <c r="E292" s="111">
        <f>'Прил 11 Перечень мероприятий'!J233</f>
        <v>0</v>
      </c>
      <c r="F292" s="364"/>
    </row>
    <row r="293" spans="1:12" x14ac:dyDescent="0.25">
      <c r="A293" s="425"/>
      <c r="B293" s="329"/>
      <c r="C293" s="383"/>
      <c r="D293" s="283" t="s">
        <v>153</v>
      </c>
      <c r="E293" s="111">
        <f>'Прил 11 Перечень мероприятий'!K233</f>
        <v>0</v>
      </c>
      <c r="F293" s="364"/>
    </row>
    <row r="294" spans="1:12" x14ac:dyDescent="0.25">
      <c r="A294" s="374" t="s">
        <v>300</v>
      </c>
      <c r="B294" s="329" t="s">
        <v>132</v>
      </c>
      <c r="C294" s="406" t="s">
        <v>540</v>
      </c>
      <c r="D294" s="110" t="s">
        <v>91</v>
      </c>
      <c r="E294" s="99">
        <f>E295+E296+E297+E298+E299</f>
        <v>51179.9</v>
      </c>
      <c r="F294" s="364"/>
      <c r="G294" s="218"/>
      <c r="H294" s="219"/>
      <c r="I294" s="219"/>
      <c r="J294" s="219"/>
      <c r="K294" s="219"/>
      <c r="L294" s="219"/>
    </row>
    <row r="295" spans="1:12" x14ac:dyDescent="0.25">
      <c r="A295" s="375"/>
      <c r="B295" s="329"/>
      <c r="C295" s="407"/>
      <c r="D295" s="283" t="s">
        <v>5</v>
      </c>
      <c r="E295" s="111">
        <f>'Прил 11 Перечень мероприятий'!G236</f>
        <v>10807.4</v>
      </c>
      <c r="F295" s="364"/>
      <c r="G295" s="218"/>
      <c r="H295" s="219"/>
      <c r="I295" s="219"/>
      <c r="J295" s="219"/>
      <c r="K295" s="219"/>
      <c r="L295" s="219"/>
    </row>
    <row r="296" spans="1:12" x14ac:dyDescent="0.25">
      <c r="A296" s="375"/>
      <c r="B296" s="329"/>
      <c r="C296" s="407"/>
      <c r="D296" s="283" t="s">
        <v>90</v>
      </c>
      <c r="E296" s="111">
        <f>'Прил 11 Перечень мероприятий'!H236</f>
        <v>9849.1</v>
      </c>
      <c r="F296" s="364"/>
      <c r="G296" s="218"/>
      <c r="H296" s="219"/>
      <c r="I296" s="219"/>
      <c r="J296" s="219"/>
      <c r="K296" s="219"/>
      <c r="L296" s="219"/>
    </row>
    <row r="297" spans="1:12" x14ac:dyDescent="0.25">
      <c r="A297" s="375"/>
      <c r="B297" s="329"/>
      <c r="C297" s="407"/>
      <c r="D297" s="283" t="s">
        <v>135</v>
      </c>
      <c r="E297" s="111">
        <f>'Прил 11 Перечень мероприятий'!I236</f>
        <v>9910.2000000000007</v>
      </c>
      <c r="F297" s="364"/>
      <c r="G297" s="218"/>
      <c r="H297" s="219"/>
      <c r="I297" s="219"/>
      <c r="J297" s="219"/>
      <c r="K297" s="219"/>
      <c r="L297" s="219"/>
    </row>
    <row r="298" spans="1:12" x14ac:dyDescent="0.25">
      <c r="A298" s="375"/>
      <c r="B298" s="329"/>
      <c r="C298" s="407"/>
      <c r="D298" s="283" t="s">
        <v>152</v>
      </c>
      <c r="E298" s="111">
        <f>'Прил 11 Перечень мероприятий'!J236</f>
        <v>10306.6</v>
      </c>
      <c r="F298" s="364"/>
      <c r="G298" s="218"/>
      <c r="H298" s="219"/>
      <c r="I298" s="219"/>
      <c r="J298" s="219"/>
      <c r="K298" s="219"/>
      <c r="L298" s="219"/>
    </row>
    <row r="299" spans="1:12" x14ac:dyDescent="0.25">
      <c r="A299" s="376"/>
      <c r="B299" s="329"/>
      <c r="C299" s="408"/>
      <c r="D299" s="283" t="s">
        <v>153</v>
      </c>
      <c r="E299" s="111">
        <f>'Прил 11 Перечень мероприятий'!K236</f>
        <v>10306.6</v>
      </c>
      <c r="F299" s="364"/>
      <c r="G299" s="218"/>
      <c r="H299" s="219"/>
      <c r="I299" s="219"/>
      <c r="J299" s="219"/>
      <c r="K299" s="219"/>
      <c r="L299" s="219"/>
    </row>
    <row r="300" spans="1:12" ht="23.25" customHeight="1" x14ac:dyDescent="0.25">
      <c r="A300" s="374" t="s">
        <v>306</v>
      </c>
      <c r="B300" s="329" t="s">
        <v>132</v>
      </c>
      <c r="C300" s="410" t="s">
        <v>606</v>
      </c>
      <c r="D300" s="110" t="s">
        <v>91</v>
      </c>
      <c r="E300" s="99">
        <f>E301+E302+E303+E304+E305</f>
        <v>10899.099999999999</v>
      </c>
      <c r="F300" s="364"/>
      <c r="G300" s="212"/>
      <c r="H300" s="213"/>
      <c r="I300" s="213"/>
      <c r="J300" s="213"/>
      <c r="K300" s="213"/>
    </row>
    <row r="301" spans="1:12" ht="36" customHeight="1" x14ac:dyDescent="0.25">
      <c r="A301" s="375"/>
      <c r="B301" s="329"/>
      <c r="C301" s="411"/>
      <c r="D301" s="283" t="s">
        <v>5</v>
      </c>
      <c r="E301" s="111">
        <f>'Прил 11 Перечень мероприятий'!G240</f>
        <v>2913.8</v>
      </c>
      <c r="F301" s="364"/>
      <c r="G301" s="212"/>
      <c r="H301" s="213"/>
      <c r="I301" s="213"/>
      <c r="J301" s="213"/>
      <c r="K301" s="213"/>
    </row>
    <row r="302" spans="1:12" ht="39.75" customHeight="1" x14ac:dyDescent="0.25">
      <c r="A302" s="375"/>
      <c r="B302" s="329"/>
      <c r="C302" s="411"/>
      <c r="D302" s="283" t="s">
        <v>90</v>
      </c>
      <c r="E302" s="111">
        <f>'Прил 11 Перечень мероприятий'!H240</f>
        <v>1315.7</v>
      </c>
      <c r="F302" s="364"/>
      <c r="G302" s="212"/>
      <c r="H302" s="213"/>
      <c r="I302" s="213"/>
      <c r="J302" s="213"/>
      <c r="K302" s="213"/>
    </row>
    <row r="303" spans="1:12" ht="32.25" customHeight="1" x14ac:dyDescent="0.25">
      <c r="A303" s="375"/>
      <c r="B303" s="329"/>
      <c r="C303" s="411"/>
      <c r="D303" s="283" t="s">
        <v>135</v>
      </c>
      <c r="E303" s="111">
        <f>'Прил 11 Перечень мероприятий'!I240</f>
        <v>2223.1999999999998</v>
      </c>
      <c r="F303" s="364"/>
      <c r="G303" s="212"/>
      <c r="H303" s="213"/>
      <c r="I303" s="213"/>
      <c r="J303" s="213"/>
      <c r="K303" s="213"/>
    </row>
    <row r="304" spans="1:12" ht="39.75" customHeight="1" x14ac:dyDescent="0.25">
      <c r="A304" s="375"/>
      <c r="B304" s="329"/>
      <c r="C304" s="411"/>
      <c r="D304" s="283" t="s">
        <v>152</v>
      </c>
      <c r="E304" s="111">
        <f>'Прил 11 Перечень мероприятий'!J240</f>
        <v>2223.1999999999998</v>
      </c>
      <c r="F304" s="364"/>
      <c r="G304" s="212"/>
      <c r="H304" s="213"/>
      <c r="I304" s="213"/>
      <c r="J304" s="213"/>
      <c r="K304" s="213"/>
    </row>
    <row r="305" spans="1:13" ht="16.5" customHeight="1" x14ac:dyDescent="0.25">
      <c r="A305" s="376"/>
      <c r="B305" s="329"/>
      <c r="C305" s="412"/>
      <c r="D305" s="283" t="s">
        <v>153</v>
      </c>
      <c r="E305" s="111">
        <f>'Прил 11 Перечень мероприятий'!K240</f>
        <v>2223.1999999999998</v>
      </c>
      <c r="F305" s="364"/>
      <c r="G305" s="212"/>
      <c r="H305" s="213"/>
      <c r="I305" s="213"/>
      <c r="J305" s="213"/>
      <c r="K305" s="213"/>
    </row>
    <row r="306" spans="1:13" x14ac:dyDescent="0.25">
      <c r="A306" s="374" t="s">
        <v>308</v>
      </c>
      <c r="B306" s="329" t="s">
        <v>132</v>
      </c>
      <c r="C306" s="406" t="s">
        <v>487</v>
      </c>
      <c r="D306" s="110" t="s">
        <v>91</v>
      </c>
      <c r="E306" s="99">
        <f>E307+E308+E309+E310+E311</f>
        <v>3305.2</v>
      </c>
      <c r="F306" s="364"/>
      <c r="G306" s="218"/>
      <c r="H306" s="219"/>
      <c r="I306" s="219"/>
      <c r="J306" s="219"/>
      <c r="K306" s="219"/>
      <c r="L306" s="219"/>
      <c r="M306" s="219"/>
    </row>
    <row r="307" spans="1:13" x14ac:dyDescent="0.25">
      <c r="A307" s="375"/>
      <c r="B307" s="329"/>
      <c r="C307" s="407"/>
      <c r="D307" s="283" t="s">
        <v>5</v>
      </c>
      <c r="E307" s="111">
        <f>'Прил 11 Перечень мероприятий'!G244</f>
        <v>505.19999999999993</v>
      </c>
      <c r="F307" s="364"/>
      <c r="G307" s="218"/>
      <c r="H307" s="219"/>
      <c r="I307" s="219"/>
      <c r="J307" s="219"/>
      <c r="K307" s="219"/>
      <c r="L307" s="219"/>
      <c r="M307" s="219"/>
    </row>
    <row r="308" spans="1:13" x14ac:dyDescent="0.25">
      <c r="A308" s="375"/>
      <c r="B308" s="329"/>
      <c r="C308" s="407"/>
      <c r="D308" s="283" t="s">
        <v>90</v>
      </c>
      <c r="E308" s="111">
        <f>'Прил 11 Перечень мероприятий'!H244</f>
        <v>700</v>
      </c>
      <c r="F308" s="364"/>
      <c r="G308" s="218"/>
      <c r="H308" s="219"/>
      <c r="I308" s="219"/>
      <c r="J308" s="219"/>
      <c r="K308" s="219"/>
      <c r="L308" s="219"/>
      <c r="M308" s="219"/>
    </row>
    <row r="309" spans="1:13" x14ac:dyDescent="0.25">
      <c r="A309" s="375"/>
      <c r="B309" s="329"/>
      <c r="C309" s="407"/>
      <c r="D309" s="283" t="s">
        <v>135</v>
      </c>
      <c r="E309" s="111">
        <f>'Прил 11 Перечень мероприятий'!I244</f>
        <v>700</v>
      </c>
      <c r="F309" s="364"/>
      <c r="G309" s="218"/>
      <c r="H309" s="219"/>
      <c r="I309" s="219"/>
      <c r="J309" s="219"/>
      <c r="K309" s="219"/>
      <c r="L309" s="219"/>
      <c r="M309" s="219"/>
    </row>
    <row r="310" spans="1:13" x14ac:dyDescent="0.25">
      <c r="A310" s="375"/>
      <c r="B310" s="329"/>
      <c r="C310" s="407"/>
      <c r="D310" s="283" t="s">
        <v>152</v>
      </c>
      <c r="E310" s="111">
        <f>'Прил 11 Перечень мероприятий'!J244</f>
        <v>700</v>
      </c>
      <c r="F310" s="364"/>
      <c r="G310" s="218"/>
      <c r="H310" s="219"/>
      <c r="I310" s="219"/>
      <c r="J310" s="219"/>
      <c r="K310" s="219"/>
      <c r="L310" s="219"/>
      <c r="M310" s="219"/>
    </row>
    <row r="311" spans="1:13" x14ac:dyDescent="0.25">
      <c r="A311" s="376"/>
      <c r="B311" s="329"/>
      <c r="C311" s="408"/>
      <c r="D311" s="283" t="s">
        <v>153</v>
      </c>
      <c r="E311" s="111">
        <f>'Прил 11 Перечень мероприятий'!K244</f>
        <v>700</v>
      </c>
      <c r="F311" s="364"/>
      <c r="G311" s="218"/>
      <c r="H311" s="219"/>
      <c r="I311" s="219"/>
      <c r="J311" s="219"/>
      <c r="K311" s="219"/>
      <c r="L311" s="219"/>
      <c r="M311" s="219"/>
    </row>
    <row r="312" spans="1:13" ht="20.25" customHeight="1" x14ac:dyDescent="0.25">
      <c r="A312" s="374" t="s">
        <v>361</v>
      </c>
      <c r="B312" s="329" t="s">
        <v>132</v>
      </c>
      <c r="C312" s="406" t="s">
        <v>607</v>
      </c>
      <c r="D312" s="110" t="s">
        <v>91</v>
      </c>
      <c r="E312" s="99">
        <f>E313+E314+E315+E316+E317</f>
        <v>8623.2000000000007</v>
      </c>
      <c r="F312" s="364"/>
    </row>
    <row r="313" spans="1:13" ht="21.75" customHeight="1" x14ac:dyDescent="0.25">
      <c r="A313" s="375"/>
      <c r="B313" s="329"/>
      <c r="C313" s="407"/>
      <c r="D313" s="283" t="s">
        <v>5</v>
      </c>
      <c r="E313" s="111">
        <f>'Прил 11 Перечень мероприятий'!G248</f>
        <v>1175.3</v>
      </c>
      <c r="F313" s="364"/>
    </row>
    <row r="314" spans="1:13" ht="22.5" customHeight="1" x14ac:dyDescent="0.25">
      <c r="A314" s="375"/>
      <c r="B314" s="329"/>
      <c r="C314" s="407"/>
      <c r="D314" s="283" t="s">
        <v>90</v>
      </c>
      <c r="E314" s="111">
        <f>'Прил 11 Перечень мероприятий'!H248</f>
        <v>1114.5</v>
      </c>
      <c r="F314" s="364"/>
    </row>
    <row r="315" spans="1:13" ht="19.5" customHeight="1" x14ac:dyDescent="0.25">
      <c r="A315" s="375"/>
      <c r="B315" s="329"/>
      <c r="C315" s="407"/>
      <c r="D315" s="283" t="s">
        <v>135</v>
      </c>
      <c r="E315" s="111">
        <f>'Прил 11 Перечень мероприятий'!I248</f>
        <v>1582.1</v>
      </c>
      <c r="F315" s="364"/>
    </row>
    <row r="316" spans="1:13" ht="21" customHeight="1" x14ac:dyDescent="0.25">
      <c r="A316" s="375"/>
      <c r="B316" s="329"/>
      <c r="C316" s="407"/>
      <c r="D316" s="283" t="s">
        <v>152</v>
      </c>
      <c r="E316" s="111">
        <f>'Прил 11 Перечень мероприятий'!J248</f>
        <v>1582.1</v>
      </c>
      <c r="F316" s="364"/>
    </row>
    <row r="317" spans="1:13" ht="32.25" customHeight="1" x14ac:dyDescent="0.25">
      <c r="A317" s="376"/>
      <c r="B317" s="329"/>
      <c r="C317" s="408"/>
      <c r="D317" s="283" t="s">
        <v>153</v>
      </c>
      <c r="E317" s="111">
        <f>'Прил 11 Перечень мероприятий'!K248</f>
        <v>3169.2</v>
      </c>
      <c r="F317" s="364"/>
    </row>
    <row r="318" spans="1:13" ht="15" customHeight="1" x14ac:dyDescent="0.25">
      <c r="A318" s="374" t="s">
        <v>284</v>
      </c>
      <c r="B318" s="329" t="s">
        <v>132</v>
      </c>
      <c r="C318" s="397" t="s">
        <v>488</v>
      </c>
      <c r="D318" s="110" t="s">
        <v>91</v>
      </c>
      <c r="E318" s="99">
        <f>E319+E320+E321+E322+E323</f>
        <v>135</v>
      </c>
      <c r="F318" s="364"/>
    </row>
    <row r="319" spans="1:13" x14ac:dyDescent="0.25">
      <c r="A319" s="375"/>
      <c r="B319" s="329"/>
      <c r="C319" s="383"/>
      <c r="D319" s="283" t="s">
        <v>5</v>
      </c>
      <c r="E319" s="111">
        <f>'Прил 11 Перечень мероприятий'!G252</f>
        <v>0</v>
      </c>
      <c r="F319" s="364"/>
    </row>
    <row r="320" spans="1:13" x14ac:dyDescent="0.25">
      <c r="A320" s="375"/>
      <c r="B320" s="329"/>
      <c r="C320" s="383"/>
      <c r="D320" s="283" t="s">
        <v>90</v>
      </c>
      <c r="E320" s="111">
        <f>'Прил 11 Перечень мероприятий'!H251</f>
        <v>0</v>
      </c>
      <c r="F320" s="364"/>
    </row>
    <row r="321" spans="1:6" x14ac:dyDescent="0.25">
      <c r="A321" s="375"/>
      <c r="B321" s="329"/>
      <c r="C321" s="383"/>
      <c r="D321" s="283" t="s">
        <v>135</v>
      </c>
      <c r="E321" s="111">
        <f>'Прил 11 Перечень мероприятий'!I252</f>
        <v>45</v>
      </c>
      <c r="F321" s="364"/>
    </row>
    <row r="322" spans="1:6" x14ac:dyDescent="0.25">
      <c r="A322" s="375"/>
      <c r="B322" s="329"/>
      <c r="C322" s="383"/>
      <c r="D322" s="283" t="s">
        <v>152</v>
      </c>
      <c r="E322" s="111">
        <f>'Прил 11 Перечень мероприятий'!J252</f>
        <v>45</v>
      </c>
      <c r="F322" s="364"/>
    </row>
    <row r="323" spans="1:6" x14ac:dyDescent="0.25">
      <c r="A323" s="376"/>
      <c r="B323" s="329"/>
      <c r="C323" s="383"/>
      <c r="D323" s="283" t="s">
        <v>153</v>
      </c>
      <c r="E323" s="111">
        <f>'Прил 11 Перечень мероприятий'!K252</f>
        <v>45</v>
      </c>
      <c r="F323" s="364"/>
    </row>
    <row r="324" spans="1:6" ht="15" customHeight="1" x14ac:dyDescent="0.25">
      <c r="A324" s="409" t="s">
        <v>293</v>
      </c>
      <c r="B324" s="329" t="s">
        <v>132</v>
      </c>
      <c r="C324" s="397" t="s">
        <v>403</v>
      </c>
      <c r="D324" s="110" t="s">
        <v>91</v>
      </c>
      <c r="E324" s="99">
        <f>E325+E326+E327+E328+E329</f>
        <v>1305</v>
      </c>
      <c r="F324" s="364"/>
    </row>
    <row r="325" spans="1:6" x14ac:dyDescent="0.25">
      <c r="A325" s="375"/>
      <c r="B325" s="329"/>
      <c r="C325" s="383"/>
      <c r="D325" s="283" t="s">
        <v>5</v>
      </c>
      <c r="E325" s="111">
        <f>'Прил 11 Перечень мероприятий'!G256</f>
        <v>200</v>
      </c>
      <c r="F325" s="364"/>
    </row>
    <row r="326" spans="1:6" x14ac:dyDescent="0.25">
      <c r="A326" s="375"/>
      <c r="B326" s="329"/>
      <c r="C326" s="383"/>
      <c r="D326" s="283" t="s">
        <v>90</v>
      </c>
      <c r="E326" s="111">
        <f>'Прил 11 Перечень мероприятий'!H256</f>
        <v>95</v>
      </c>
      <c r="F326" s="364"/>
    </row>
    <row r="327" spans="1:6" x14ac:dyDescent="0.25">
      <c r="A327" s="375"/>
      <c r="B327" s="329"/>
      <c r="C327" s="383"/>
      <c r="D327" s="283" t="s">
        <v>135</v>
      </c>
      <c r="E327" s="111">
        <f>'Прил 11 Перечень мероприятий'!I256</f>
        <v>200</v>
      </c>
      <c r="F327" s="364"/>
    </row>
    <row r="328" spans="1:6" x14ac:dyDescent="0.25">
      <c r="A328" s="375"/>
      <c r="B328" s="329"/>
      <c r="C328" s="383"/>
      <c r="D328" s="283" t="s">
        <v>152</v>
      </c>
      <c r="E328" s="111">
        <f>'Прил 11 Перечень мероприятий'!J256</f>
        <v>405</v>
      </c>
      <c r="F328" s="364"/>
    </row>
    <row r="329" spans="1:6" x14ac:dyDescent="0.25">
      <c r="A329" s="376"/>
      <c r="B329" s="329"/>
      <c r="C329" s="383"/>
      <c r="D329" s="283" t="s">
        <v>153</v>
      </c>
      <c r="E329" s="111">
        <f>'Прил 11 Перечень мероприятий'!K256</f>
        <v>405</v>
      </c>
      <c r="F329" s="364"/>
    </row>
    <row r="330" spans="1:6" ht="15" customHeight="1" x14ac:dyDescent="0.25">
      <c r="A330" s="421" t="s">
        <v>286</v>
      </c>
      <c r="B330" s="329" t="s">
        <v>132</v>
      </c>
      <c r="C330" s="397" t="s">
        <v>489</v>
      </c>
      <c r="D330" s="110" t="s">
        <v>91</v>
      </c>
      <c r="E330" s="99">
        <f>E331+E332+E333+E334+E335</f>
        <v>1470</v>
      </c>
      <c r="F330" s="364"/>
    </row>
    <row r="331" spans="1:6" x14ac:dyDescent="0.25">
      <c r="A331" s="422"/>
      <c r="B331" s="329"/>
      <c r="C331" s="383"/>
      <c r="D331" s="283" t="s">
        <v>5</v>
      </c>
      <c r="E331" s="111">
        <f>'Прил 11 Перечень мероприятий'!G260</f>
        <v>260</v>
      </c>
      <c r="F331" s="364"/>
    </row>
    <row r="332" spans="1:6" x14ac:dyDescent="0.25">
      <c r="A332" s="422"/>
      <c r="B332" s="329"/>
      <c r="C332" s="383"/>
      <c r="D332" s="283" t="s">
        <v>90</v>
      </c>
      <c r="E332" s="111">
        <f>'Прил 11 Перечень мероприятий'!H260</f>
        <v>200</v>
      </c>
      <c r="F332" s="364"/>
    </row>
    <row r="333" spans="1:6" x14ac:dyDescent="0.25">
      <c r="A333" s="422"/>
      <c r="B333" s="329"/>
      <c r="C333" s="383"/>
      <c r="D333" s="283" t="s">
        <v>135</v>
      </c>
      <c r="E333" s="111">
        <f>'Прил 11 Перечень мероприятий'!I260</f>
        <v>200</v>
      </c>
      <c r="F333" s="364"/>
    </row>
    <row r="334" spans="1:6" x14ac:dyDescent="0.25">
      <c r="A334" s="422"/>
      <c r="B334" s="329"/>
      <c r="C334" s="383"/>
      <c r="D334" s="283" t="s">
        <v>152</v>
      </c>
      <c r="E334" s="111">
        <f>'Прил 11 Перечень мероприятий'!J260</f>
        <v>405</v>
      </c>
      <c r="F334" s="364"/>
    </row>
    <row r="335" spans="1:6" x14ac:dyDescent="0.25">
      <c r="A335" s="423"/>
      <c r="B335" s="329"/>
      <c r="C335" s="383"/>
      <c r="D335" s="283" t="s">
        <v>153</v>
      </c>
      <c r="E335" s="111">
        <f>'Прил 11 Перечень мероприятий'!K260</f>
        <v>405</v>
      </c>
      <c r="F335" s="364"/>
    </row>
    <row r="336" spans="1:6" ht="17.25" customHeight="1" x14ac:dyDescent="0.25">
      <c r="A336" s="421" t="s">
        <v>287</v>
      </c>
      <c r="B336" s="329" t="s">
        <v>132</v>
      </c>
      <c r="C336" s="397" t="s">
        <v>608</v>
      </c>
      <c r="D336" s="110" t="s">
        <v>91</v>
      </c>
      <c r="E336" s="99">
        <f>E337+E338+E339+E340+E341</f>
        <v>6980.6</v>
      </c>
      <c r="F336" s="364"/>
    </row>
    <row r="337" spans="1:6" ht="17.25" customHeight="1" x14ac:dyDescent="0.25">
      <c r="A337" s="422"/>
      <c r="B337" s="329"/>
      <c r="C337" s="383"/>
      <c r="D337" s="283" t="s">
        <v>5</v>
      </c>
      <c r="E337" s="111">
        <f>'Прил 11 Перечень мероприятий'!G264</f>
        <v>1000.3999999999999</v>
      </c>
      <c r="F337" s="364"/>
    </row>
    <row r="338" spans="1:6" ht="21" customHeight="1" x14ac:dyDescent="0.25">
      <c r="A338" s="422"/>
      <c r="B338" s="329"/>
      <c r="C338" s="383"/>
      <c r="D338" s="283" t="s">
        <v>90</v>
      </c>
      <c r="E338" s="111">
        <f>'Прил 11 Перечень мероприятий'!H264</f>
        <v>1480.2</v>
      </c>
      <c r="F338" s="364"/>
    </row>
    <row r="339" spans="1:6" ht="21.75" customHeight="1" x14ac:dyDescent="0.25">
      <c r="A339" s="422"/>
      <c r="B339" s="329"/>
      <c r="C339" s="383"/>
      <c r="D339" s="283" t="s">
        <v>135</v>
      </c>
      <c r="E339" s="111">
        <f>'Прил 11 Перечень мероприятий'!I264</f>
        <v>0</v>
      </c>
      <c r="F339" s="364"/>
    </row>
    <row r="340" spans="1:6" ht="23.25" customHeight="1" x14ac:dyDescent="0.25">
      <c r="A340" s="422"/>
      <c r="B340" s="329"/>
      <c r="C340" s="383"/>
      <c r="D340" s="283" t="s">
        <v>152</v>
      </c>
      <c r="E340" s="111">
        <f>'Прил 11 Перечень мероприятий'!J264</f>
        <v>2250</v>
      </c>
      <c r="F340" s="364"/>
    </row>
    <row r="341" spans="1:6" ht="40.5" customHeight="1" x14ac:dyDescent="0.25">
      <c r="A341" s="423"/>
      <c r="B341" s="329"/>
      <c r="C341" s="383"/>
      <c r="D341" s="283" t="s">
        <v>153</v>
      </c>
      <c r="E341" s="111">
        <f>'Прил 11 Перечень мероприятий'!K264</f>
        <v>2250</v>
      </c>
      <c r="F341" s="364"/>
    </row>
    <row r="342" spans="1:6" ht="15" customHeight="1" x14ac:dyDescent="0.25">
      <c r="A342" s="421" t="s">
        <v>337</v>
      </c>
      <c r="B342" s="329" t="s">
        <v>132</v>
      </c>
      <c r="C342" s="397" t="s">
        <v>621</v>
      </c>
      <c r="D342" s="110" t="s">
        <v>91</v>
      </c>
      <c r="E342" s="99">
        <f>E343+E344+E345+E346+E347</f>
        <v>113.8</v>
      </c>
      <c r="F342" s="364"/>
    </row>
    <row r="343" spans="1:6" x14ac:dyDescent="0.25">
      <c r="A343" s="422"/>
      <c r="B343" s="329"/>
      <c r="C343" s="383"/>
      <c r="D343" s="283" t="s">
        <v>5</v>
      </c>
      <c r="E343" s="111">
        <f>'Прил 11 Перечень мероприятий'!G268</f>
        <v>9.9</v>
      </c>
      <c r="F343" s="364"/>
    </row>
    <row r="344" spans="1:6" x14ac:dyDescent="0.25">
      <c r="A344" s="422"/>
      <c r="B344" s="329"/>
      <c r="C344" s="383"/>
      <c r="D344" s="283" t="s">
        <v>90</v>
      </c>
      <c r="E344" s="111">
        <f>'Прил 11 Перечень мероприятий'!H268</f>
        <v>13.9</v>
      </c>
      <c r="F344" s="364"/>
    </row>
    <row r="345" spans="1:6" x14ac:dyDescent="0.25">
      <c r="A345" s="422"/>
      <c r="B345" s="329"/>
      <c r="C345" s="383"/>
      <c r="D345" s="283" t="s">
        <v>135</v>
      </c>
      <c r="E345" s="111">
        <f>'Прил 11 Перечень мероприятий'!I268</f>
        <v>30</v>
      </c>
      <c r="F345" s="364"/>
    </row>
    <row r="346" spans="1:6" x14ac:dyDescent="0.25">
      <c r="A346" s="422"/>
      <c r="B346" s="329"/>
      <c r="C346" s="383"/>
      <c r="D346" s="283" t="s">
        <v>152</v>
      </c>
      <c r="E346" s="111">
        <f>'Прил 11 Перечень мероприятий'!J268</f>
        <v>30</v>
      </c>
      <c r="F346" s="364"/>
    </row>
    <row r="347" spans="1:6" x14ac:dyDescent="0.25">
      <c r="A347" s="423"/>
      <c r="B347" s="329"/>
      <c r="C347" s="383"/>
      <c r="D347" s="283" t="s">
        <v>153</v>
      </c>
      <c r="E347" s="111">
        <f>'Прил 11 Перечень мероприятий'!K268</f>
        <v>30</v>
      </c>
      <c r="F347" s="364"/>
    </row>
    <row r="348" spans="1:6" ht="15" customHeight="1" x14ac:dyDescent="0.25">
      <c r="A348" s="421" t="s">
        <v>338</v>
      </c>
      <c r="B348" s="329" t="s">
        <v>132</v>
      </c>
      <c r="C348" s="397" t="s">
        <v>490</v>
      </c>
      <c r="D348" s="110" t="s">
        <v>91</v>
      </c>
      <c r="E348" s="99">
        <f>E349+E350+E351+E352+E353</f>
        <v>744.7</v>
      </c>
      <c r="F348" s="364"/>
    </row>
    <row r="349" spans="1:6" x14ac:dyDescent="0.25">
      <c r="A349" s="422"/>
      <c r="B349" s="329"/>
      <c r="C349" s="383"/>
      <c r="D349" s="283" t="s">
        <v>5</v>
      </c>
      <c r="E349" s="111">
        <f>'Прил 11 Перечень мероприятий'!G272</f>
        <v>50</v>
      </c>
      <c r="F349" s="364"/>
    </row>
    <row r="350" spans="1:6" x14ac:dyDescent="0.25">
      <c r="A350" s="422"/>
      <c r="B350" s="329"/>
      <c r="C350" s="383"/>
      <c r="D350" s="283" t="s">
        <v>90</v>
      </c>
      <c r="E350" s="111">
        <f>'Прил 11 Перечень мероприятий'!H272</f>
        <v>144.69999999999999</v>
      </c>
      <c r="F350" s="364"/>
    </row>
    <row r="351" spans="1:6" x14ac:dyDescent="0.25">
      <c r="A351" s="422"/>
      <c r="B351" s="329"/>
      <c r="C351" s="383"/>
      <c r="D351" s="283" t="s">
        <v>135</v>
      </c>
      <c r="E351" s="111">
        <f>'Прил 11 Перечень мероприятий'!I272</f>
        <v>150</v>
      </c>
      <c r="F351" s="364"/>
    </row>
    <row r="352" spans="1:6" x14ac:dyDescent="0.25">
      <c r="A352" s="422"/>
      <c r="B352" s="329"/>
      <c r="C352" s="383"/>
      <c r="D352" s="283" t="s">
        <v>152</v>
      </c>
      <c r="E352" s="111">
        <f>'Прил 11 Перечень мероприятий'!J272</f>
        <v>200</v>
      </c>
      <c r="F352" s="364"/>
    </row>
    <row r="353" spans="1:6" x14ac:dyDescent="0.25">
      <c r="A353" s="423"/>
      <c r="B353" s="329"/>
      <c r="C353" s="383"/>
      <c r="D353" s="283" t="s">
        <v>153</v>
      </c>
      <c r="E353" s="111">
        <f>'Прил 11 Перечень мероприятий'!K272</f>
        <v>200</v>
      </c>
      <c r="F353" s="364"/>
    </row>
    <row r="354" spans="1:6" ht="15" customHeight="1" x14ac:dyDescent="0.25">
      <c r="A354" s="421" t="s">
        <v>339</v>
      </c>
      <c r="B354" s="329" t="s">
        <v>132</v>
      </c>
      <c r="C354" s="397" t="s">
        <v>491</v>
      </c>
      <c r="D354" s="110" t="s">
        <v>91</v>
      </c>
      <c r="E354" s="99">
        <f>E355+E356+E357+E358+E359</f>
        <v>1400</v>
      </c>
      <c r="F354" s="364"/>
    </row>
    <row r="355" spans="1:6" x14ac:dyDescent="0.25">
      <c r="A355" s="422"/>
      <c r="B355" s="329"/>
      <c r="C355" s="383"/>
      <c r="D355" s="283" t="s">
        <v>5</v>
      </c>
      <c r="E355" s="111">
        <f>'Прил 11 Перечень мероприятий'!G276</f>
        <v>600</v>
      </c>
      <c r="F355" s="364"/>
    </row>
    <row r="356" spans="1:6" x14ac:dyDescent="0.25">
      <c r="A356" s="422"/>
      <c r="B356" s="329"/>
      <c r="C356" s="383"/>
      <c r="D356" s="283" t="s">
        <v>90</v>
      </c>
      <c r="E356" s="111">
        <f>'Прил 11 Перечень мероприятий'!H276</f>
        <v>200</v>
      </c>
      <c r="F356" s="364"/>
    </row>
    <row r="357" spans="1:6" x14ac:dyDescent="0.25">
      <c r="A357" s="422"/>
      <c r="B357" s="329"/>
      <c r="C357" s="383"/>
      <c r="D357" s="283" t="s">
        <v>135</v>
      </c>
      <c r="E357" s="111">
        <f>'Прил 11 Перечень мероприятий'!I276</f>
        <v>200</v>
      </c>
      <c r="F357" s="364"/>
    </row>
    <row r="358" spans="1:6" x14ac:dyDescent="0.25">
      <c r="A358" s="422"/>
      <c r="B358" s="329"/>
      <c r="C358" s="383"/>
      <c r="D358" s="283" t="s">
        <v>152</v>
      </c>
      <c r="E358" s="111">
        <f>'Прил 11 Перечень мероприятий'!J276</f>
        <v>200</v>
      </c>
      <c r="F358" s="364"/>
    </row>
    <row r="359" spans="1:6" x14ac:dyDescent="0.25">
      <c r="A359" s="423"/>
      <c r="B359" s="329"/>
      <c r="C359" s="383"/>
      <c r="D359" s="283" t="s">
        <v>153</v>
      </c>
      <c r="E359" s="111">
        <f>'Прил 11 Перечень мероприятий'!K276</f>
        <v>200</v>
      </c>
      <c r="F359" s="364"/>
    </row>
    <row r="360" spans="1:6" x14ac:dyDescent="0.25">
      <c r="A360" s="421" t="s">
        <v>364</v>
      </c>
      <c r="B360" s="329" t="s">
        <v>132</v>
      </c>
      <c r="C360" s="397" t="s">
        <v>492</v>
      </c>
      <c r="D360" s="110" t="s">
        <v>91</v>
      </c>
      <c r="E360" s="99">
        <f>E361+E362+E363+E364+E365</f>
        <v>20204.3</v>
      </c>
      <c r="F360" s="364"/>
    </row>
    <row r="361" spans="1:6" x14ac:dyDescent="0.25">
      <c r="A361" s="422"/>
      <c r="B361" s="329"/>
      <c r="C361" s="383"/>
      <c r="D361" s="283" t="s">
        <v>5</v>
      </c>
      <c r="E361" s="111">
        <f>'Прил 11 Перечень мероприятий'!G280</f>
        <v>2800</v>
      </c>
      <c r="F361" s="364"/>
    </row>
    <row r="362" spans="1:6" x14ac:dyDescent="0.25">
      <c r="A362" s="422"/>
      <c r="B362" s="329"/>
      <c r="C362" s="383"/>
      <c r="D362" s="283" t="s">
        <v>90</v>
      </c>
      <c r="E362" s="111">
        <f>'Прил 11 Перечень мероприятий'!H280</f>
        <v>6170.4</v>
      </c>
      <c r="F362" s="364"/>
    </row>
    <row r="363" spans="1:6" x14ac:dyDescent="0.25">
      <c r="A363" s="422"/>
      <c r="B363" s="329"/>
      <c r="C363" s="383"/>
      <c r="D363" s="283" t="s">
        <v>135</v>
      </c>
      <c r="E363" s="111">
        <f>'Прил 11 Перечень мероприятий'!I280</f>
        <v>2352.9</v>
      </c>
      <c r="F363" s="364"/>
    </row>
    <row r="364" spans="1:6" x14ac:dyDescent="0.25">
      <c r="A364" s="422"/>
      <c r="B364" s="329"/>
      <c r="C364" s="383"/>
      <c r="D364" s="283" t="s">
        <v>152</v>
      </c>
      <c r="E364" s="111">
        <f>'Прил 11 Перечень мероприятий'!J280</f>
        <v>4440.5</v>
      </c>
      <c r="F364" s="364"/>
    </row>
    <row r="365" spans="1:6" x14ac:dyDescent="0.25">
      <c r="A365" s="423"/>
      <c r="B365" s="329"/>
      <c r="C365" s="383"/>
      <c r="D365" s="283" t="s">
        <v>153</v>
      </c>
      <c r="E365" s="111">
        <f>'Прил 11 Перечень мероприятий'!K280</f>
        <v>4440.5</v>
      </c>
      <c r="F365" s="364"/>
    </row>
    <row r="366" spans="1:6" x14ac:dyDescent="0.25">
      <c r="A366" s="374" t="s">
        <v>393</v>
      </c>
      <c r="B366" s="329" t="s">
        <v>14</v>
      </c>
      <c r="C366" s="404" t="s">
        <v>493</v>
      </c>
      <c r="D366" s="110" t="s">
        <v>91</v>
      </c>
      <c r="E366" s="99">
        <f>E367+E368+E369+E370+E371</f>
        <v>1122</v>
      </c>
      <c r="F366" s="374"/>
    </row>
    <row r="367" spans="1:6" x14ac:dyDescent="0.25">
      <c r="A367" s="375"/>
      <c r="B367" s="329"/>
      <c r="C367" s="405"/>
      <c r="D367" s="283" t="s">
        <v>5</v>
      </c>
      <c r="E367" s="111">
        <f>'Прил 11 Перечень мероприятий'!G285</f>
        <v>1122</v>
      </c>
      <c r="F367" s="375"/>
    </row>
    <row r="368" spans="1:6" x14ac:dyDescent="0.25">
      <c r="A368" s="375"/>
      <c r="B368" s="329"/>
      <c r="C368" s="405"/>
      <c r="D368" s="283" t="s">
        <v>90</v>
      </c>
      <c r="E368" s="111">
        <f>'Прил 11 Перечень мероприятий'!H285</f>
        <v>0</v>
      </c>
      <c r="F368" s="375"/>
    </row>
    <row r="369" spans="1:6" x14ac:dyDescent="0.25">
      <c r="A369" s="375"/>
      <c r="B369" s="329"/>
      <c r="C369" s="405"/>
      <c r="D369" s="283" t="s">
        <v>135</v>
      </c>
      <c r="E369" s="111">
        <f>'Прил 11 Перечень мероприятий'!I285</f>
        <v>0</v>
      </c>
      <c r="F369" s="375"/>
    </row>
    <row r="370" spans="1:6" x14ac:dyDescent="0.25">
      <c r="A370" s="375"/>
      <c r="B370" s="329"/>
      <c r="C370" s="405"/>
      <c r="D370" s="283" t="s">
        <v>152</v>
      </c>
      <c r="E370" s="111">
        <f>'Прил 11 Перечень мероприятий'!J285</f>
        <v>0</v>
      </c>
      <c r="F370" s="375"/>
    </row>
    <row r="371" spans="1:6" x14ac:dyDescent="0.25">
      <c r="A371" s="376"/>
      <c r="B371" s="329"/>
      <c r="C371" s="405"/>
      <c r="D371" s="283" t="s">
        <v>153</v>
      </c>
      <c r="E371" s="111">
        <f>'Прил 11 Перечень мероприятий'!K285</f>
        <v>0</v>
      </c>
      <c r="F371" s="376"/>
    </row>
    <row r="372" spans="1:6" ht="24.75" customHeight="1" x14ac:dyDescent="0.25">
      <c r="A372" s="384" t="s">
        <v>227</v>
      </c>
      <c r="B372" s="395"/>
      <c r="C372" s="395"/>
      <c r="D372" s="395"/>
      <c r="E372" s="395"/>
      <c r="F372" s="396"/>
    </row>
    <row r="373" spans="1:6" ht="15" customHeight="1" x14ac:dyDescent="0.25">
      <c r="A373" s="374" t="s">
        <v>311</v>
      </c>
      <c r="B373" s="329" t="s">
        <v>132</v>
      </c>
      <c r="C373" s="397"/>
      <c r="D373" s="110" t="s">
        <v>91</v>
      </c>
      <c r="E373" s="99">
        <f>E374+E375+E376+E377+E378</f>
        <v>232</v>
      </c>
      <c r="F373" s="364"/>
    </row>
    <row r="374" spans="1:6" x14ac:dyDescent="0.25">
      <c r="A374" s="375"/>
      <c r="B374" s="329"/>
      <c r="C374" s="383"/>
      <c r="D374" s="251" t="s">
        <v>5</v>
      </c>
      <c r="E374" s="111">
        <f>'Прил 11 Перечень мероприятий'!G292</f>
        <v>232</v>
      </c>
      <c r="F374" s="364"/>
    </row>
    <row r="375" spans="1:6" x14ac:dyDescent="0.25">
      <c r="A375" s="375"/>
      <c r="B375" s="329"/>
      <c r="C375" s="383"/>
      <c r="D375" s="251" t="s">
        <v>90</v>
      </c>
      <c r="E375" s="111">
        <f>'Прил 11 Перечень мероприятий'!H292</f>
        <v>0</v>
      </c>
      <c r="F375" s="364"/>
    </row>
    <row r="376" spans="1:6" x14ac:dyDescent="0.25">
      <c r="A376" s="375"/>
      <c r="B376" s="329"/>
      <c r="C376" s="383"/>
      <c r="D376" s="251" t="s">
        <v>135</v>
      </c>
      <c r="E376" s="111">
        <f>'Прил 11 Перечень мероприятий'!I292</f>
        <v>0</v>
      </c>
      <c r="F376" s="364"/>
    </row>
    <row r="377" spans="1:6" x14ac:dyDescent="0.25">
      <c r="A377" s="375"/>
      <c r="B377" s="329"/>
      <c r="C377" s="383"/>
      <c r="D377" s="251" t="s">
        <v>152</v>
      </c>
      <c r="E377" s="111">
        <f>'Прил 11 Перечень мероприятий'!J292</f>
        <v>0</v>
      </c>
      <c r="F377" s="364"/>
    </row>
    <row r="378" spans="1:6" x14ac:dyDescent="0.25">
      <c r="A378" s="376"/>
      <c r="B378" s="329"/>
      <c r="C378" s="383"/>
      <c r="D378" s="251" t="s">
        <v>153</v>
      </c>
      <c r="E378" s="111">
        <f>'Прил 11 Перечень мероприятий'!K292</f>
        <v>0</v>
      </c>
      <c r="F378" s="364"/>
    </row>
    <row r="379" spans="1:6" ht="15" customHeight="1" x14ac:dyDescent="0.25">
      <c r="A379" s="374" t="s">
        <v>317</v>
      </c>
      <c r="B379" s="329" t="s">
        <v>132</v>
      </c>
      <c r="C379" s="397" t="s">
        <v>494</v>
      </c>
      <c r="D379" s="110" t="s">
        <v>91</v>
      </c>
      <c r="E379" s="99">
        <f>E380+E381+E382+E383+E384</f>
        <v>2458.3000000000002</v>
      </c>
      <c r="F379" s="364"/>
    </row>
    <row r="380" spans="1:6" x14ac:dyDescent="0.25">
      <c r="A380" s="375"/>
      <c r="B380" s="329"/>
      <c r="C380" s="383"/>
      <c r="D380" s="251" t="s">
        <v>5</v>
      </c>
      <c r="E380" s="111">
        <f>'Прил 11 Перечень мероприятий'!G296</f>
        <v>500</v>
      </c>
      <c r="F380" s="364"/>
    </row>
    <row r="381" spans="1:6" x14ac:dyDescent="0.25">
      <c r="A381" s="375"/>
      <c r="B381" s="329"/>
      <c r="C381" s="383"/>
      <c r="D381" s="251" t="s">
        <v>90</v>
      </c>
      <c r="E381" s="111">
        <f>'Прил 11 Перечень мероприятий'!H296</f>
        <v>458.3</v>
      </c>
      <c r="F381" s="364"/>
    </row>
    <row r="382" spans="1:6" x14ac:dyDescent="0.25">
      <c r="A382" s="375"/>
      <c r="B382" s="329"/>
      <c r="C382" s="383"/>
      <c r="D382" s="251" t="s">
        <v>135</v>
      </c>
      <c r="E382" s="111">
        <f>'Прил 11 Перечень мероприятий'!I296</f>
        <v>500</v>
      </c>
      <c r="F382" s="364"/>
    </row>
    <row r="383" spans="1:6" x14ac:dyDescent="0.25">
      <c r="A383" s="375"/>
      <c r="B383" s="329"/>
      <c r="C383" s="383"/>
      <c r="D383" s="251" t="s">
        <v>152</v>
      </c>
      <c r="E383" s="111">
        <f>'Прил 11 Перечень мероприятий'!J296</f>
        <v>500</v>
      </c>
      <c r="F383" s="364"/>
    </row>
    <row r="384" spans="1:6" x14ac:dyDescent="0.25">
      <c r="A384" s="376"/>
      <c r="B384" s="329"/>
      <c r="C384" s="383"/>
      <c r="D384" s="251" t="s">
        <v>153</v>
      </c>
      <c r="E384" s="111">
        <f>'Прил 11 Перечень мероприятий'!K296</f>
        <v>500</v>
      </c>
      <c r="F384" s="364"/>
    </row>
    <row r="385" spans="1:6" ht="15" customHeight="1" x14ac:dyDescent="0.25">
      <c r="A385" s="374" t="s">
        <v>316</v>
      </c>
      <c r="B385" s="329" t="s">
        <v>132</v>
      </c>
      <c r="C385" s="397" t="s">
        <v>495</v>
      </c>
      <c r="D385" s="110" t="s">
        <v>91</v>
      </c>
      <c r="E385" s="99">
        <f>E386+E387+E388+E389+E390</f>
        <v>357.9</v>
      </c>
      <c r="F385" s="364"/>
    </row>
    <row r="386" spans="1:6" x14ac:dyDescent="0.25">
      <c r="A386" s="375"/>
      <c r="B386" s="329"/>
      <c r="C386" s="383"/>
      <c r="D386" s="251" t="s">
        <v>5</v>
      </c>
      <c r="E386" s="111">
        <f>'Прил 11 Перечень мероприятий'!G300</f>
        <v>72.8</v>
      </c>
      <c r="F386" s="364"/>
    </row>
    <row r="387" spans="1:6" x14ac:dyDescent="0.25">
      <c r="A387" s="375"/>
      <c r="B387" s="329"/>
      <c r="C387" s="383"/>
      <c r="D387" s="251" t="s">
        <v>90</v>
      </c>
      <c r="E387" s="111">
        <f>'Прил 11 Перечень мероприятий'!H300</f>
        <v>15.1</v>
      </c>
      <c r="F387" s="364"/>
    </row>
    <row r="388" spans="1:6" x14ac:dyDescent="0.25">
      <c r="A388" s="375"/>
      <c r="B388" s="329"/>
      <c r="C388" s="383"/>
      <c r="D388" s="251" t="s">
        <v>135</v>
      </c>
      <c r="E388" s="111">
        <f>'Прил 11 Перечень мероприятий'!I300</f>
        <v>90</v>
      </c>
      <c r="F388" s="364"/>
    </row>
    <row r="389" spans="1:6" x14ac:dyDescent="0.25">
      <c r="A389" s="375"/>
      <c r="B389" s="329"/>
      <c r="C389" s="383"/>
      <c r="D389" s="251" t="s">
        <v>152</v>
      </c>
      <c r="E389" s="111">
        <f>'Прил 11 Перечень мероприятий'!J300</f>
        <v>90</v>
      </c>
      <c r="F389" s="364"/>
    </row>
    <row r="390" spans="1:6" x14ac:dyDescent="0.25">
      <c r="A390" s="376"/>
      <c r="B390" s="329"/>
      <c r="C390" s="383"/>
      <c r="D390" s="251" t="s">
        <v>153</v>
      </c>
      <c r="E390" s="111">
        <f>'Прил 11 Перечень мероприятий'!K300</f>
        <v>90</v>
      </c>
      <c r="F390" s="364"/>
    </row>
    <row r="391" spans="1:6" ht="15" customHeight="1" x14ac:dyDescent="0.25">
      <c r="A391" s="374" t="s">
        <v>362</v>
      </c>
      <c r="B391" s="329" t="s">
        <v>132</v>
      </c>
      <c r="C391" s="377" t="s">
        <v>334</v>
      </c>
      <c r="D391" s="110" t="s">
        <v>91</v>
      </c>
      <c r="E391" s="99">
        <f>E392+E393+E394+E395+E396</f>
        <v>500</v>
      </c>
      <c r="F391" s="364"/>
    </row>
    <row r="392" spans="1:6" x14ac:dyDescent="0.25">
      <c r="A392" s="375"/>
      <c r="B392" s="329"/>
      <c r="C392" s="378"/>
      <c r="D392" s="283" t="s">
        <v>5</v>
      </c>
      <c r="E392" s="111">
        <f>'Прил 11 Перечень мероприятий'!G304</f>
        <v>100</v>
      </c>
      <c r="F392" s="364"/>
    </row>
    <row r="393" spans="1:6" x14ac:dyDescent="0.25">
      <c r="A393" s="375"/>
      <c r="B393" s="329"/>
      <c r="C393" s="378"/>
      <c r="D393" s="283" t="s">
        <v>90</v>
      </c>
      <c r="E393" s="111">
        <f>'Прил 11 Перечень мероприятий'!H304</f>
        <v>100</v>
      </c>
      <c r="F393" s="364"/>
    </row>
    <row r="394" spans="1:6" x14ac:dyDescent="0.25">
      <c r="A394" s="375"/>
      <c r="B394" s="329"/>
      <c r="C394" s="378"/>
      <c r="D394" s="283" t="s">
        <v>135</v>
      </c>
      <c r="E394" s="111">
        <f>'Прил 11 Перечень мероприятий'!I304</f>
        <v>100</v>
      </c>
      <c r="F394" s="364"/>
    </row>
    <row r="395" spans="1:6" ht="21" customHeight="1" x14ac:dyDescent="0.25">
      <c r="A395" s="375"/>
      <c r="B395" s="329"/>
      <c r="C395" s="378"/>
      <c r="D395" s="283" t="s">
        <v>152</v>
      </c>
      <c r="E395" s="111">
        <f>'Прил 11 Перечень мероприятий'!J304</f>
        <v>100</v>
      </c>
      <c r="F395" s="364"/>
    </row>
    <row r="396" spans="1:6" x14ac:dyDescent="0.25">
      <c r="A396" s="376"/>
      <c r="B396" s="329"/>
      <c r="C396" s="378"/>
      <c r="D396" s="283" t="s">
        <v>153</v>
      </c>
      <c r="E396" s="111">
        <f>'Прил 11 Перечень мероприятий'!K304</f>
        <v>100</v>
      </c>
      <c r="F396" s="364"/>
    </row>
    <row r="397" spans="1:6" ht="21" customHeight="1" x14ac:dyDescent="0.25">
      <c r="A397" s="374" t="s">
        <v>318</v>
      </c>
      <c r="B397" s="329" t="s">
        <v>132</v>
      </c>
      <c r="C397" s="377" t="s">
        <v>609</v>
      </c>
      <c r="D397" s="110" t="s">
        <v>91</v>
      </c>
      <c r="E397" s="99">
        <f>E398+E399+E400+E401+E402</f>
        <v>4233.5</v>
      </c>
      <c r="F397" s="364"/>
    </row>
    <row r="398" spans="1:6" x14ac:dyDescent="0.25">
      <c r="A398" s="375"/>
      <c r="B398" s="329"/>
      <c r="C398" s="378"/>
      <c r="D398" s="283" t="s">
        <v>5</v>
      </c>
      <c r="E398" s="111">
        <f>'Прил 11 Перечень мероприятий'!G308</f>
        <v>1023.5999999999999</v>
      </c>
      <c r="F398" s="364"/>
    </row>
    <row r="399" spans="1:6" x14ac:dyDescent="0.25">
      <c r="A399" s="375"/>
      <c r="B399" s="329"/>
      <c r="C399" s="378"/>
      <c r="D399" s="283" t="s">
        <v>90</v>
      </c>
      <c r="E399" s="111">
        <f>'Прил 11 Перечень мероприятий'!H308</f>
        <v>917.9</v>
      </c>
      <c r="F399" s="364"/>
    </row>
    <row r="400" spans="1:6" ht="18" customHeight="1" x14ac:dyDescent="0.25">
      <c r="A400" s="375"/>
      <c r="B400" s="329"/>
      <c r="C400" s="378"/>
      <c r="D400" s="283" t="s">
        <v>135</v>
      </c>
      <c r="E400" s="111">
        <f>'Прил 11 Перечень мероприятий'!I308</f>
        <v>0</v>
      </c>
      <c r="F400" s="364"/>
    </row>
    <row r="401" spans="1:6" x14ac:dyDescent="0.25">
      <c r="A401" s="375"/>
      <c r="B401" s="329"/>
      <c r="C401" s="378"/>
      <c r="D401" s="283" t="s">
        <v>152</v>
      </c>
      <c r="E401" s="111">
        <f>'Прил 11 Перечень мероприятий'!J308</f>
        <v>1146</v>
      </c>
      <c r="F401" s="364"/>
    </row>
    <row r="402" spans="1:6" x14ac:dyDescent="0.25">
      <c r="A402" s="376"/>
      <c r="B402" s="329"/>
      <c r="C402" s="378"/>
      <c r="D402" s="283" t="s">
        <v>153</v>
      </c>
      <c r="E402" s="111">
        <f>'Прил 11 Перечень мероприятий'!K308</f>
        <v>1146</v>
      </c>
      <c r="F402" s="364"/>
    </row>
    <row r="403" spans="1:6" x14ac:dyDescent="0.25">
      <c r="A403" s="374" t="s">
        <v>368</v>
      </c>
      <c r="B403" s="329" t="s">
        <v>132</v>
      </c>
      <c r="C403" s="377" t="s">
        <v>610</v>
      </c>
      <c r="D403" s="110" t="s">
        <v>91</v>
      </c>
      <c r="E403" s="99">
        <f>E404+E405+E406+E407+E408</f>
        <v>2184.8999999999996</v>
      </c>
      <c r="F403" s="364"/>
    </row>
    <row r="404" spans="1:6" x14ac:dyDescent="0.25">
      <c r="A404" s="375"/>
      <c r="B404" s="329"/>
      <c r="C404" s="378"/>
      <c r="D404" s="283" t="s">
        <v>5</v>
      </c>
      <c r="E404" s="111">
        <f>'Прил 11 Перечень мероприятий'!G312</f>
        <v>200</v>
      </c>
      <c r="F404" s="364"/>
    </row>
    <row r="405" spans="1:6" x14ac:dyDescent="0.25">
      <c r="A405" s="375"/>
      <c r="B405" s="329"/>
      <c r="C405" s="378"/>
      <c r="D405" s="283" t="s">
        <v>90</v>
      </c>
      <c r="E405" s="111">
        <f>'Прил 11 Перечень мероприятий'!H312</f>
        <v>397.8</v>
      </c>
      <c r="F405" s="364"/>
    </row>
    <row r="406" spans="1:6" x14ac:dyDescent="0.25">
      <c r="A406" s="375"/>
      <c r="B406" s="329"/>
      <c r="C406" s="378"/>
      <c r="D406" s="283" t="s">
        <v>135</v>
      </c>
      <c r="E406" s="111">
        <f>'Прил 11 Перечень мероприятий'!I312</f>
        <v>0</v>
      </c>
      <c r="F406" s="364"/>
    </row>
    <row r="407" spans="1:6" x14ac:dyDescent="0.25">
      <c r="A407" s="375"/>
      <c r="B407" s="329"/>
      <c r="C407" s="378"/>
      <c r="D407" s="283" t="s">
        <v>152</v>
      </c>
      <c r="E407" s="111">
        <f>'Прил 11 Перечень мероприятий'!J312</f>
        <v>1587.1</v>
      </c>
      <c r="F407" s="364"/>
    </row>
    <row r="408" spans="1:6" x14ac:dyDescent="0.25">
      <c r="A408" s="376"/>
      <c r="B408" s="329"/>
      <c r="C408" s="378"/>
      <c r="D408" s="283" t="s">
        <v>153</v>
      </c>
      <c r="E408" s="111">
        <f>'Прил 11 Перечень мероприятий'!K312</f>
        <v>0</v>
      </c>
      <c r="F408" s="364"/>
    </row>
    <row r="409" spans="1:6" ht="15" customHeight="1" x14ac:dyDescent="0.25">
      <c r="A409" s="374" t="s">
        <v>399</v>
      </c>
      <c r="B409" s="329" t="s">
        <v>132</v>
      </c>
      <c r="C409" s="377" t="s">
        <v>611</v>
      </c>
      <c r="D409" s="110" t="s">
        <v>91</v>
      </c>
      <c r="E409" s="99">
        <f>E410+E411+E412+E413+E414</f>
        <v>951.8</v>
      </c>
      <c r="F409" s="364"/>
    </row>
    <row r="410" spans="1:6" x14ac:dyDescent="0.25">
      <c r="A410" s="375"/>
      <c r="B410" s="329"/>
      <c r="C410" s="378"/>
      <c r="D410" s="283" t="s">
        <v>5</v>
      </c>
      <c r="E410" s="111">
        <f>'Прил 11 Перечень мероприятий'!G316</f>
        <v>84.800000000000011</v>
      </c>
      <c r="F410" s="364"/>
    </row>
    <row r="411" spans="1:6" x14ac:dyDescent="0.25">
      <c r="A411" s="375"/>
      <c r="B411" s="329"/>
      <c r="C411" s="378"/>
      <c r="D411" s="283" t="s">
        <v>90</v>
      </c>
      <c r="E411" s="111">
        <f>'Прил 11 Перечень мероприятий'!H316</f>
        <v>867</v>
      </c>
      <c r="F411" s="364"/>
    </row>
    <row r="412" spans="1:6" x14ac:dyDescent="0.25">
      <c r="A412" s="375"/>
      <c r="B412" s="329"/>
      <c r="C412" s="378"/>
      <c r="D412" s="283" t="s">
        <v>135</v>
      </c>
      <c r="E412" s="111">
        <f>'Прил 11 Перечень мероприятий'!I316</f>
        <v>0</v>
      </c>
      <c r="F412" s="364"/>
    </row>
    <row r="413" spans="1:6" x14ac:dyDescent="0.25">
      <c r="A413" s="375"/>
      <c r="B413" s="329"/>
      <c r="C413" s="378"/>
      <c r="D413" s="283" t="s">
        <v>152</v>
      </c>
      <c r="E413" s="111">
        <f>'Прил 11 Перечень мероприятий'!J316</f>
        <v>0</v>
      </c>
      <c r="F413" s="364"/>
    </row>
    <row r="414" spans="1:6" x14ac:dyDescent="0.25">
      <c r="A414" s="376"/>
      <c r="B414" s="329"/>
      <c r="C414" s="378"/>
      <c r="D414" s="283" t="s">
        <v>153</v>
      </c>
      <c r="E414" s="111">
        <f>'Прил 11 Перечень мероприятий'!K316</f>
        <v>0</v>
      </c>
      <c r="F414" s="364"/>
    </row>
    <row r="415" spans="1:6" ht="15" customHeight="1" x14ac:dyDescent="0.25">
      <c r="A415" s="374" t="s">
        <v>336</v>
      </c>
      <c r="B415" s="329" t="s">
        <v>132</v>
      </c>
      <c r="C415" s="377" t="s">
        <v>402</v>
      </c>
      <c r="D415" s="110" t="s">
        <v>91</v>
      </c>
      <c r="E415" s="99">
        <f>E416+E417+E418+E419+E420</f>
        <v>1665.9</v>
      </c>
      <c r="F415" s="364"/>
    </row>
    <row r="416" spans="1:6" x14ac:dyDescent="0.25">
      <c r="A416" s="375"/>
      <c r="B416" s="329"/>
      <c r="C416" s="378"/>
      <c r="D416" s="251" t="s">
        <v>5</v>
      </c>
      <c r="E416" s="111">
        <f>'Прил 11 Перечень мероприятий'!G324</f>
        <v>250</v>
      </c>
      <c r="F416" s="364"/>
    </row>
    <row r="417" spans="1:6" x14ac:dyDescent="0.25">
      <c r="A417" s="375"/>
      <c r="B417" s="329"/>
      <c r="C417" s="378"/>
      <c r="D417" s="251" t="s">
        <v>90</v>
      </c>
      <c r="E417" s="111">
        <f>'Прил 11 Перечень мероприятий'!H324</f>
        <v>165.9</v>
      </c>
      <c r="F417" s="364"/>
    </row>
    <row r="418" spans="1:6" x14ac:dyDescent="0.25">
      <c r="A418" s="375"/>
      <c r="B418" s="329"/>
      <c r="C418" s="378"/>
      <c r="D418" s="251" t="s">
        <v>135</v>
      </c>
      <c r="E418" s="111">
        <f>'Прил 11 Перечень мероприятий'!I324</f>
        <v>250</v>
      </c>
      <c r="F418" s="364"/>
    </row>
    <row r="419" spans="1:6" x14ac:dyDescent="0.25">
      <c r="A419" s="375"/>
      <c r="B419" s="329"/>
      <c r="C419" s="378"/>
      <c r="D419" s="251" t="s">
        <v>152</v>
      </c>
      <c r="E419" s="111">
        <f>'Прил 11 Перечень мероприятий'!J324</f>
        <v>500</v>
      </c>
      <c r="F419" s="364"/>
    </row>
    <row r="420" spans="1:6" x14ac:dyDescent="0.25">
      <c r="A420" s="376"/>
      <c r="B420" s="329"/>
      <c r="C420" s="378"/>
      <c r="D420" s="251" t="s">
        <v>153</v>
      </c>
      <c r="E420" s="111">
        <f>'Прил 11 Перечень мероприятий'!K324</f>
        <v>500</v>
      </c>
      <c r="F420" s="364"/>
    </row>
    <row r="421" spans="1:6" ht="27.75" customHeight="1" x14ac:dyDescent="0.25">
      <c r="A421" s="389" t="s">
        <v>191</v>
      </c>
      <c r="B421" s="390"/>
      <c r="C421" s="390"/>
      <c r="D421" s="390"/>
      <c r="E421" s="390"/>
      <c r="F421" s="391"/>
    </row>
    <row r="422" spans="1:6" ht="27.75" customHeight="1" x14ac:dyDescent="0.25">
      <c r="A422" s="384" t="s">
        <v>514</v>
      </c>
      <c r="B422" s="395"/>
      <c r="C422" s="395"/>
      <c r="D422" s="395"/>
      <c r="E422" s="395"/>
      <c r="F422" s="396"/>
    </row>
    <row r="423" spans="1:6" ht="15" customHeight="1" x14ac:dyDescent="0.25">
      <c r="A423" s="387" t="s">
        <v>297</v>
      </c>
      <c r="B423" s="329" t="s">
        <v>132</v>
      </c>
      <c r="C423" s="398" t="s">
        <v>538</v>
      </c>
      <c r="D423" s="110" t="s">
        <v>91</v>
      </c>
      <c r="E423" s="99">
        <f>E424+E425+E426+E427+E428</f>
        <v>22645.8</v>
      </c>
      <c r="F423" s="364"/>
    </row>
    <row r="424" spans="1:6" x14ac:dyDescent="0.25">
      <c r="A424" s="375"/>
      <c r="B424" s="329"/>
      <c r="C424" s="398"/>
      <c r="D424" s="265" t="s">
        <v>5</v>
      </c>
      <c r="E424" s="111">
        <f>'Прил 11 Перечень мероприятий'!G341</f>
        <v>3779.6</v>
      </c>
      <c r="F424" s="364"/>
    </row>
    <row r="425" spans="1:6" x14ac:dyDescent="0.25">
      <c r="A425" s="375"/>
      <c r="B425" s="329"/>
      <c r="C425" s="398"/>
      <c r="D425" s="265" t="s">
        <v>90</v>
      </c>
      <c r="E425" s="111">
        <f>'Прил 11 Перечень мероприятий'!H341</f>
        <v>5024.7</v>
      </c>
      <c r="F425" s="364"/>
    </row>
    <row r="426" spans="1:6" x14ac:dyDescent="0.25">
      <c r="A426" s="375"/>
      <c r="B426" s="329"/>
      <c r="C426" s="398"/>
      <c r="D426" s="265" t="s">
        <v>135</v>
      </c>
      <c r="E426" s="111">
        <f>'Прил 11 Перечень мероприятий'!I341</f>
        <v>5024.7</v>
      </c>
      <c r="F426" s="364"/>
    </row>
    <row r="427" spans="1:6" x14ac:dyDescent="0.25">
      <c r="A427" s="375"/>
      <c r="B427" s="329"/>
      <c r="C427" s="398"/>
      <c r="D427" s="265" t="s">
        <v>152</v>
      </c>
      <c r="E427" s="111">
        <f>'Прил 11 Перечень мероприятий'!J341</f>
        <v>5024.7</v>
      </c>
      <c r="F427" s="364"/>
    </row>
    <row r="428" spans="1:6" x14ac:dyDescent="0.25">
      <c r="A428" s="376"/>
      <c r="B428" s="329"/>
      <c r="C428" s="398"/>
      <c r="D428" s="265" t="s">
        <v>153</v>
      </c>
      <c r="E428" s="111">
        <f>'Прил 11 Перечень мероприятий'!K341</f>
        <v>3792.1</v>
      </c>
      <c r="F428" s="364"/>
    </row>
    <row r="429" spans="1:6" x14ac:dyDescent="0.25">
      <c r="A429" s="387" t="s">
        <v>323</v>
      </c>
      <c r="B429" s="329" t="s">
        <v>132</v>
      </c>
      <c r="C429" s="401" t="s">
        <v>319</v>
      </c>
      <c r="D429" s="110" t="s">
        <v>91</v>
      </c>
      <c r="E429" s="99">
        <f>E430+E431+E432+E433+E434</f>
        <v>50.4</v>
      </c>
      <c r="F429" s="364"/>
    </row>
    <row r="430" spans="1:6" x14ac:dyDescent="0.25">
      <c r="A430" s="399"/>
      <c r="B430" s="329"/>
      <c r="C430" s="402"/>
      <c r="D430" s="256" t="s">
        <v>5</v>
      </c>
      <c r="E430" s="111">
        <f>'Прил 11 Перечень мероприятий'!G345</f>
        <v>50.4</v>
      </c>
      <c r="F430" s="364"/>
    </row>
    <row r="431" spans="1:6" x14ac:dyDescent="0.25">
      <c r="A431" s="399"/>
      <c r="B431" s="329"/>
      <c r="C431" s="402"/>
      <c r="D431" s="256" t="s">
        <v>90</v>
      </c>
      <c r="E431" s="111">
        <f>'Прил 11 Перечень мероприятий'!H345</f>
        <v>0</v>
      </c>
      <c r="F431" s="364"/>
    </row>
    <row r="432" spans="1:6" x14ac:dyDescent="0.25">
      <c r="A432" s="399"/>
      <c r="B432" s="329"/>
      <c r="C432" s="402"/>
      <c r="D432" s="256" t="s">
        <v>135</v>
      </c>
      <c r="E432" s="111">
        <f>'Прил 11 Перечень мероприятий'!J345</f>
        <v>0</v>
      </c>
      <c r="F432" s="364"/>
    </row>
    <row r="433" spans="1:6" x14ac:dyDescent="0.25">
      <c r="A433" s="399"/>
      <c r="B433" s="329"/>
      <c r="C433" s="402"/>
      <c r="D433" s="256" t="s">
        <v>152</v>
      </c>
      <c r="E433" s="111">
        <f>'Прил 11 Перечень мероприятий'!K345</f>
        <v>0</v>
      </c>
      <c r="F433" s="364"/>
    </row>
    <row r="434" spans="1:6" x14ac:dyDescent="0.25">
      <c r="A434" s="399"/>
      <c r="B434" s="329"/>
      <c r="C434" s="402"/>
      <c r="D434" s="256" t="s">
        <v>153</v>
      </c>
      <c r="E434" s="111">
        <f>'Прил 11 Перечень мероприятий'!K249</f>
        <v>0</v>
      </c>
      <c r="F434" s="364"/>
    </row>
    <row r="435" spans="1:6" x14ac:dyDescent="0.25">
      <c r="A435" s="399"/>
      <c r="B435" s="329" t="s">
        <v>14</v>
      </c>
      <c r="C435" s="402"/>
      <c r="D435" s="110" t="s">
        <v>91</v>
      </c>
      <c r="E435" s="99">
        <f>E436+E437+E438+E439+E440</f>
        <v>535.6</v>
      </c>
      <c r="F435" s="364"/>
    </row>
    <row r="436" spans="1:6" x14ac:dyDescent="0.25">
      <c r="A436" s="399"/>
      <c r="B436" s="329"/>
      <c r="C436" s="402"/>
      <c r="D436" s="256" t="s">
        <v>5</v>
      </c>
      <c r="E436" s="111">
        <f>'Прил 11 Перечень мероприятий'!G346</f>
        <v>535.6</v>
      </c>
      <c r="F436" s="364"/>
    </row>
    <row r="437" spans="1:6" x14ac:dyDescent="0.25">
      <c r="A437" s="399"/>
      <c r="B437" s="329"/>
      <c r="C437" s="402"/>
      <c r="D437" s="256" t="s">
        <v>90</v>
      </c>
      <c r="E437" s="111">
        <f>'Прил 11 Перечень мероприятий'!H346</f>
        <v>0</v>
      </c>
      <c r="F437" s="364"/>
    </row>
    <row r="438" spans="1:6" x14ac:dyDescent="0.25">
      <c r="A438" s="399"/>
      <c r="B438" s="329"/>
      <c r="C438" s="402"/>
      <c r="D438" s="256" t="s">
        <v>135</v>
      </c>
      <c r="E438" s="111">
        <f>'Прил 11 Перечень мероприятий'!I346</f>
        <v>0</v>
      </c>
      <c r="F438" s="364"/>
    </row>
    <row r="439" spans="1:6" x14ac:dyDescent="0.25">
      <c r="A439" s="399"/>
      <c r="B439" s="329"/>
      <c r="C439" s="402"/>
      <c r="D439" s="256" t="s">
        <v>152</v>
      </c>
      <c r="E439" s="111">
        <f>'Прил 11 Перечень мероприятий'!J346</f>
        <v>0</v>
      </c>
      <c r="F439" s="364"/>
    </row>
    <row r="440" spans="1:6" x14ac:dyDescent="0.25">
      <c r="A440" s="400"/>
      <c r="B440" s="329"/>
      <c r="C440" s="403"/>
      <c r="D440" s="256" t="s">
        <v>153</v>
      </c>
      <c r="E440" s="111">
        <f>'Прил 11 Перечень мероприятий'!K346</f>
        <v>0</v>
      </c>
      <c r="F440" s="364"/>
    </row>
    <row r="441" spans="1:6" ht="15" customHeight="1" x14ac:dyDescent="0.25">
      <c r="A441" s="374" t="s">
        <v>300</v>
      </c>
      <c r="B441" s="329" t="s">
        <v>132</v>
      </c>
      <c r="C441" s="383" t="s">
        <v>515</v>
      </c>
      <c r="D441" s="110" t="s">
        <v>91</v>
      </c>
      <c r="E441" s="99">
        <f>E442+E443+E444+E445+E446</f>
        <v>1001.2</v>
      </c>
      <c r="F441" s="364"/>
    </row>
    <row r="442" spans="1:6" x14ac:dyDescent="0.25">
      <c r="A442" s="375"/>
      <c r="B442" s="329"/>
      <c r="C442" s="383"/>
      <c r="D442" s="251" t="s">
        <v>5</v>
      </c>
      <c r="E442" s="111">
        <f>'Прил 11 Перечень мероприятий'!G349</f>
        <v>243.6</v>
      </c>
      <c r="F442" s="364"/>
    </row>
    <row r="443" spans="1:6" x14ac:dyDescent="0.25">
      <c r="A443" s="375"/>
      <c r="B443" s="329"/>
      <c r="C443" s="383"/>
      <c r="D443" s="251" t="s">
        <v>90</v>
      </c>
      <c r="E443" s="111">
        <f>'Прил 11 Перечень мероприятий'!H349</f>
        <v>185.7</v>
      </c>
      <c r="F443" s="364"/>
    </row>
    <row r="444" spans="1:6" x14ac:dyDescent="0.25">
      <c r="A444" s="375"/>
      <c r="B444" s="329"/>
      <c r="C444" s="383"/>
      <c r="D444" s="251" t="s">
        <v>135</v>
      </c>
      <c r="E444" s="111">
        <f>'Прил 11 Перечень мероприятий'!I349</f>
        <v>185.7</v>
      </c>
      <c r="F444" s="364"/>
    </row>
    <row r="445" spans="1:6" x14ac:dyDescent="0.25">
      <c r="A445" s="375"/>
      <c r="B445" s="329"/>
      <c r="C445" s="383"/>
      <c r="D445" s="251" t="s">
        <v>152</v>
      </c>
      <c r="E445" s="111">
        <f>'Прил 11 Перечень мероприятий'!J349</f>
        <v>193.1</v>
      </c>
      <c r="F445" s="364"/>
    </row>
    <row r="446" spans="1:6" x14ac:dyDescent="0.25">
      <c r="A446" s="376"/>
      <c r="B446" s="329"/>
      <c r="C446" s="383"/>
      <c r="D446" s="251" t="s">
        <v>153</v>
      </c>
      <c r="E446" s="111">
        <f>'Прил 11 Перечень мероприятий'!K349</f>
        <v>193.1</v>
      </c>
      <c r="F446" s="364"/>
    </row>
    <row r="447" spans="1:6" ht="18" customHeight="1" x14ac:dyDescent="0.25">
      <c r="A447" s="374" t="s">
        <v>516</v>
      </c>
      <c r="B447" s="329" t="s">
        <v>132</v>
      </c>
      <c r="C447" s="383" t="s">
        <v>554</v>
      </c>
      <c r="D447" s="110" t="s">
        <v>91</v>
      </c>
      <c r="E447" s="99">
        <f>E448+E449+E450+E451+E452</f>
        <v>1081.3</v>
      </c>
      <c r="F447" s="364"/>
    </row>
    <row r="448" spans="1:6" ht="20.25" customHeight="1" x14ac:dyDescent="0.25">
      <c r="A448" s="375"/>
      <c r="B448" s="329"/>
      <c r="C448" s="383"/>
      <c r="D448" s="267" t="s">
        <v>5</v>
      </c>
      <c r="E448" s="111">
        <f>'Прил 11 Перечень мероприятий'!G353</f>
        <v>268.39999999999998</v>
      </c>
      <c r="F448" s="364"/>
    </row>
    <row r="449" spans="1:6" ht="20.25" customHeight="1" x14ac:dyDescent="0.25">
      <c r="A449" s="375"/>
      <c r="B449" s="329"/>
      <c r="C449" s="383"/>
      <c r="D449" s="267" t="s">
        <v>90</v>
      </c>
      <c r="E449" s="111">
        <f>'Прил 11 Перечень мероприятий'!H353</f>
        <v>155.6</v>
      </c>
      <c r="F449" s="364"/>
    </row>
    <row r="450" spans="1:6" ht="18.75" customHeight="1" x14ac:dyDescent="0.25">
      <c r="A450" s="375"/>
      <c r="B450" s="329"/>
      <c r="C450" s="383"/>
      <c r="D450" s="267" t="s">
        <v>135</v>
      </c>
      <c r="E450" s="111">
        <f>'Прил 11 Перечень мероприятий'!I353</f>
        <v>219.1</v>
      </c>
      <c r="F450" s="364"/>
    </row>
    <row r="451" spans="1:6" ht="21" customHeight="1" x14ac:dyDescent="0.25">
      <c r="A451" s="375"/>
      <c r="B451" s="329"/>
      <c r="C451" s="383"/>
      <c r="D451" s="267" t="s">
        <v>152</v>
      </c>
      <c r="E451" s="111">
        <f>'Прил 11 Перечень мероприятий'!J353</f>
        <v>219.1</v>
      </c>
      <c r="F451" s="364"/>
    </row>
    <row r="452" spans="1:6" ht="30.75" customHeight="1" x14ac:dyDescent="0.25">
      <c r="A452" s="376"/>
      <c r="B452" s="329"/>
      <c r="C452" s="383"/>
      <c r="D452" s="267" t="s">
        <v>153</v>
      </c>
      <c r="E452" s="111">
        <f>'Прил 11 Перечень мероприятий'!K353</f>
        <v>219.1</v>
      </c>
      <c r="F452" s="364"/>
    </row>
    <row r="453" spans="1:6" x14ac:dyDescent="0.25">
      <c r="A453" s="374" t="s">
        <v>517</v>
      </c>
      <c r="B453" s="329" t="s">
        <v>132</v>
      </c>
      <c r="C453" s="383" t="s">
        <v>320</v>
      </c>
      <c r="D453" s="110" t="s">
        <v>91</v>
      </c>
      <c r="E453" s="99">
        <f>E454+E455+E456+E457+E458</f>
        <v>351.09999999999997</v>
      </c>
      <c r="F453" s="364"/>
    </row>
    <row r="454" spans="1:6" x14ac:dyDescent="0.25">
      <c r="A454" s="375"/>
      <c r="B454" s="329"/>
      <c r="C454" s="383"/>
      <c r="D454" s="267" t="s">
        <v>5</v>
      </c>
      <c r="E454" s="111">
        <f>'Прил 11 Перечень мероприятий'!G357</f>
        <v>3</v>
      </c>
      <c r="F454" s="364"/>
    </row>
    <row r="455" spans="1:6" x14ac:dyDescent="0.25">
      <c r="A455" s="375"/>
      <c r="B455" s="329"/>
      <c r="C455" s="383"/>
      <c r="D455" s="267" t="s">
        <v>90</v>
      </c>
      <c r="E455" s="111">
        <f>'Прил 11 Перечень мероприятий'!H357</f>
        <v>40</v>
      </c>
      <c r="F455" s="364"/>
    </row>
    <row r="456" spans="1:6" x14ac:dyDescent="0.25">
      <c r="A456" s="375"/>
      <c r="B456" s="329"/>
      <c r="C456" s="383"/>
      <c r="D456" s="267" t="s">
        <v>135</v>
      </c>
      <c r="E456" s="111">
        <f>'Прил 11 Перечень мероприятий'!I357</f>
        <v>102.7</v>
      </c>
      <c r="F456" s="364"/>
    </row>
    <row r="457" spans="1:6" x14ac:dyDescent="0.25">
      <c r="A457" s="375"/>
      <c r="B457" s="329"/>
      <c r="C457" s="383"/>
      <c r="D457" s="267" t="s">
        <v>152</v>
      </c>
      <c r="E457" s="111">
        <f>'Прил 11 Перечень мероприятий'!J357</f>
        <v>102.7</v>
      </c>
      <c r="F457" s="364"/>
    </row>
    <row r="458" spans="1:6" x14ac:dyDescent="0.25">
      <c r="A458" s="376"/>
      <c r="B458" s="329"/>
      <c r="C458" s="383"/>
      <c r="D458" s="267" t="s">
        <v>153</v>
      </c>
      <c r="E458" s="111">
        <f>'Прил 11 Перечень мероприятий'!K357</f>
        <v>102.7</v>
      </c>
      <c r="F458" s="364"/>
    </row>
    <row r="459" spans="1:6" ht="15" customHeight="1" x14ac:dyDescent="0.25">
      <c r="A459" s="387" t="s">
        <v>518</v>
      </c>
      <c r="B459" s="329" t="s">
        <v>132</v>
      </c>
      <c r="C459" s="383" t="s">
        <v>555</v>
      </c>
      <c r="D459" s="110" t="s">
        <v>91</v>
      </c>
      <c r="E459" s="99">
        <f>E460+E461+E462+E463+E464</f>
        <v>1001.9000000000001</v>
      </c>
      <c r="F459" s="364"/>
    </row>
    <row r="460" spans="1:6" x14ac:dyDescent="0.25">
      <c r="A460" s="375"/>
      <c r="B460" s="329"/>
      <c r="C460" s="383"/>
      <c r="D460" s="267" t="s">
        <v>5</v>
      </c>
      <c r="E460" s="111">
        <f>'Прил 11 Перечень мероприятий'!G361</f>
        <v>78</v>
      </c>
      <c r="F460" s="364"/>
    </row>
    <row r="461" spans="1:6" x14ac:dyDescent="0.25">
      <c r="A461" s="375"/>
      <c r="B461" s="329"/>
      <c r="C461" s="383"/>
      <c r="D461" s="267" t="s">
        <v>90</v>
      </c>
      <c r="E461" s="111">
        <f>'Прил 11 Перечень мероприятий'!H361</f>
        <v>105.8</v>
      </c>
      <c r="F461" s="364"/>
    </row>
    <row r="462" spans="1:6" x14ac:dyDescent="0.25">
      <c r="A462" s="375"/>
      <c r="B462" s="329"/>
      <c r="C462" s="383"/>
      <c r="D462" s="267" t="s">
        <v>135</v>
      </c>
      <c r="E462" s="111">
        <f>'Прил 11 Перечень мероприятий'!I361</f>
        <v>272.7</v>
      </c>
      <c r="F462" s="364"/>
    </row>
    <row r="463" spans="1:6" x14ac:dyDescent="0.25">
      <c r="A463" s="375"/>
      <c r="B463" s="329"/>
      <c r="C463" s="383"/>
      <c r="D463" s="267" t="s">
        <v>152</v>
      </c>
      <c r="E463" s="111">
        <f>'Прил 11 Перечень мероприятий'!J361</f>
        <v>272.7</v>
      </c>
      <c r="F463" s="364"/>
    </row>
    <row r="464" spans="1:6" x14ac:dyDescent="0.25">
      <c r="A464" s="376"/>
      <c r="B464" s="329"/>
      <c r="C464" s="383"/>
      <c r="D464" s="267" t="s">
        <v>153</v>
      </c>
      <c r="E464" s="111">
        <f>'Прил 11 Перечень мероприятий'!K361</f>
        <v>272.7</v>
      </c>
      <c r="F464" s="364"/>
    </row>
    <row r="465" spans="1:6" x14ac:dyDescent="0.25">
      <c r="A465" s="374" t="s">
        <v>519</v>
      </c>
      <c r="B465" s="329" t="s">
        <v>14</v>
      </c>
      <c r="C465" s="405" t="s">
        <v>525</v>
      </c>
      <c r="D465" s="110" t="s">
        <v>91</v>
      </c>
      <c r="E465" s="99">
        <f>E466+E467+E468+E469+E470</f>
        <v>1987.8</v>
      </c>
      <c r="F465" s="374"/>
    </row>
    <row r="466" spans="1:6" x14ac:dyDescent="0.25">
      <c r="A466" s="375"/>
      <c r="B466" s="329"/>
      <c r="C466" s="405"/>
      <c r="D466" s="256" t="s">
        <v>5</v>
      </c>
      <c r="E466" s="111">
        <f>'Прил 11 Перечень мероприятий'!G365</f>
        <v>334.6</v>
      </c>
      <c r="F466" s="375"/>
    </row>
    <row r="467" spans="1:6" x14ac:dyDescent="0.25">
      <c r="A467" s="375"/>
      <c r="B467" s="329"/>
      <c r="C467" s="405"/>
      <c r="D467" s="256" t="s">
        <v>90</v>
      </c>
      <c r="E467" s="111">
        <f>'Прил 11 Перечень мероприятий'!H365</f>
        <v>413.3</v>
      </c>
      <c r="F467" s="375"/>
    </row>
    <row r="468" spans="1:6" x14ac:dyDescent="0.25">
      <c r="A468" s="375"/>
      <c r="B468" s="329"/>
      <c r="C468" s="405"/>
      <c r="D468" s="256" t="s">
        <v>135</v>
      </c>
      <c r="E468" s="111">
        <f>'Прил 11 Перечень мероприятий'!I365</f>
        <v>413.3</v>
      </c>
      <c r="F468" s="375"/>
    </row>
    <row r="469" spans="1:6" x14ac:dyDescent="0.25">
      <c r="A469" s="375"/>
      <c r="B469" s="329"/>
      <c r="C469" s="405"/>
      <c r="D469" s="256" t="s">
        <v>152</v>
      </c>
      <c r="E469" s="111">
        <f>'Прил 11 Перечень мероприятий'!J365</f>
        <v>413.3</v>
      </c>
      <c r="F469" s="375"/>
    </row>
    <row r="470" spans="1:6" x14ac:dyDescent="0.25">
      <c r="A470" s="376"/>
      <c r="B470" s="329"/>
      <c r="C470" s="405"/>
      <c r="D470" s="256" t="s">
        <v>153</v>
      </c>
      <c r="E470" s="111">
        <f>'Прил 11 Перечень мероприятий'!K365</f>
        <v>413.3</v>
      </c>
      <c r="F470" s="376"/>
    </row>
    <row r="471" spans="1:6" ht="15" customHeight="1" x14ac:dyDescent="0.25">
      <c r="A471" s="374" t="s">
        <v>520</v>
      </c>
      <c r="B471" s="329" t="s">
        <v>14</v>
      </c>
      <c r="C471" s="404" t="s">
        <v>395</v>
      </c>
      <c r="D471" s="110" t="s">
        <v>91</v>
      </c>
      <c r="E471" s="99">
        <f>E472+E473+E474+E475+E476</f>
        <v>37</v>
      </c>
      <c r="F471" s="374"/>
    </row>
    <row r="472" spans="1:6" x14ac:dyDescent="0.25">
      <c r="A472" s="375"/>
      <c r="B472" s="329"/>
      <c r="C472" s="405"/>
      <c r="D472" s="256" t="s">
        <v>5</v>
      </c>
      <c r="E472" s="111">
        <f>'Прил 11 Перечень мероприятий'!G370</f>
        <v>37</v>
      </c>
      <c r="F472" s="375"/>
    </row>
    <row r="473" spans="1:6" x14ac:dyDescent="0.25">
      <c r="A473" s="375"/>
      <c r="B473" s="329"/>
      <c r="C473" s="405"/>
      <c r="D473" s="256" t="s">
        <v>90</v>
      </c>
      <c r="E473" s="111">
        <f>'Прил 11 Перечень мероприятий'!H369</f>
        <v>0</v>
      </c>
      <c r="F473" s="375"/>
    </row>
    <row r="474" spans="1:6" x14ac:dyDescent="0.25">
      <c r="A474" s="375"/>
      <c r="B474" s="329"/>
      <c r="C474" s="405"/>
      <c r="D474" s="256" t="s">
        <v>135</v>
      </c>
      <c r="E474" s="111">
        <f>'Прил 11 Перечень мероприятий'!I369</f>
        <v>0</v>
      </c>
      <c r="F474" s="375"/>
    </row>
    <row r="475" spans="1:6" x14ac:dyDescent="0.25">
      <c r="A475" s="375"/>
      <c r="B475" s="329"/>
      <c r="C475" s="405"/>
      <c r="D475" s="256" t="s">
        <v>152</v>
      </c>
      <c r="E475" s="111">
        <f>'Прил 11 Перечень мероприятий'!J369</f>
        <v>0</v>
      </c>
      <c r="F475" s="375"/>
    </row>
    <row r="476" spans="1:6" x14ac:dyDescent="0.25">
      <c r="A476" s="376"/>
      <c r="B476" s="329"/>
      <c r="C476" s="405"/>
      <c r="D476" s="256" t="s">
        <v>153</v>
      </c>
      <c r="E476" s="111">
        <f>'Прил 11 Перечень мероприятий'!K369</f>
        <v>0</v>
      </c>
      <c r="F476" s="376"/>
    </row>
    <row r="477" spans="1:6" ht="24.75" customHeight="1" x14ac:dyDescent="0.25">
      <c r="A477" s="418" t="s">
        <v>227</v>
      </c>
      <c r="B477" s="419"/>
      <c r="C477" s="419"/>
      <c r="D477" s="419"/>
      <c r="E477" s="419"/>
      <c r="F477" s="420"/>
    </row>
    <row r="478" spans="1:6" x14ac:dyDescent="0.25">
      <c r="A478" s="387" t="s">
        <v>521</v>
      </c>
      <c r="B478" s="329" t="s">
        <v>132</v>
      </c>
      <c r="C478" s="383" t="s">
        <v>526</v>
      </c>
      <c r="D478" s="110" t="s">
        <v>91</v>
      </c>
      <c r="E478" s="99">
        <f>E479+E480+E481+E482+E483</f>
        <v>574.4</v>
      </c>
      <c r="F478" s="364"/>
    </row>
    <row r="479" spans="1:6" x14ac:dyDescent="0.25">
      <c r="A479" s="375"/>
      <c r="B479" s="329"/>
      <c r="C479" s="383"/>
      <c r="D479" s="256" t="s">
        <v>5</v>
      </c>
      <c r="E479" s="111">
        <f>'Прил 11 Перечень мероприятий'!G377</f>
        <v>0</v>
      </c>
      <c r="F479" s="364"/>
    </row>
    <row r="480" spans="1:6" x14ac:dyDescent="0.25">
      <c r="A480" s="375"/>
      <c r="B480" s="329"/>
      <c r="C480" s="383"/>
      <c r="D480" s="256" t="s">
        <v>90</v>
      </c>
      <c r="E480" s="111">
        <f>'Прил 11 Перечень мероприятий'!H377</f>
        <v>200</v>
      </c>
      <c r="F480" s="364"/>
    </row>
    <row r="481" spans="1:6" x14ac:dyDescent="0.25">
      <c r="A481" s="375"/>
      <c r="B481" s="329"/>
      <c r="C481" s="383"/>
      <c r="D481" s="256" t="s">
        <v>135</v>
      </c>
      <c r="E481" s="111">
        <f>'Прил 11 Перечень мероприятий'!I377</f>
        <v>124.8</v>
      </c>
      <c r="F481" s="364"/>
    </row>
    <row r="482" spans="1:6" x14ac:dyDescent="0.25">
      <c r="A482" s="375"/>
      <c r="B482" s="329"/>
      <c r="C482" s="383"/>
      <c r="D482" s="256" t="s">
        <v>152</v>
      </c>
      <c r="E482" s="111">
        <f>'Прил 11 Перечень мероприятий'!J377</f>
        <v>124.8</v>
      </c>
      <c r="F482" s="364"/>
    </row>
    <row r="483" spans="1:6" x14ac:dyDescent="0.25">
      <c r="A483" s="376"/>
      <c r="B483" s="329"/>
      <c r="C483" s="383"/>
      <c r="D483" s="256" t="s">
        <v>153</v>
      </c>
      <c r="E483" s="111">
        <f>'Прил 11 Перечень мероприятий'!K377</f>
        <v>124.8</v>
      </c>
      <c r="F483" s="364"/>
    </row>
    <row r="484" spans="1:6" x14ac:dyDescent="0.25">
      <c r="A484" s="387" t="s">
        <v>522</v>
      </c>
      <c r="B484" s="329" t="s">
        <v>132</v>
      </c>
      <c r="C484" s="383" t="s">
        <v>527</v>
      </c>
      <c r="D484" s="110" t="s">
        <v>91</v>
      </c>
      <c r="E484" s="99">
        <f>E485+E486+E487+E488+E489</f>
        <v>223.2</v>
      </c>
      <c r="F484" s="364"/>
    </row>
    <row r="485" spans="1:6" x14ac:dyDescent="0.25">
      <c r="A485" s="375"/>
      <c r="B485" s="329"/>
      <c r="C485" s="383"/>
      <c r="D485" s="256" t="s">
        <v>5</v>
      </c>
      <c r="E485" s="111">
        <f>'Прил 11 Перечень мероприятий'!G381</f>
        <v>0</v>
      </c>
      <c r="F485" s="364"/>
    </row>
    <row r="486" spans="1:6" x14ac:dyDescent="0.25">
      <c r="A486" s="375"/>
      <c r="B486" s="329"/>
      <c r="C486" s="383"/>
      <c r="D486" s="256" t="s">
        <v>90</v>
      </c>
      <c r="E486" s="111">
        <f>'Прил 11 Перечень мероприятий'!H381</f>
        <v>55.8</v>
      </c>
      <c r="F486" s="364"/>
    </row>
    <row r="487" spans="1:6" x14ac:dyDescent="0.25">
      <c r="A487" s="375"/>
      <c r="B487" s="329"/>
      <c r="C487" s="383"/>
      <c r="D487" s="256" t="s">
        <v>135</v>
      </c>
      <c r="E487" s="111">
        <f>'Прил 11 Перечень мероприятий'!I381</f>
        <v>55.8</v>
      </c>
      <c r="F487" s="364"/>
    </row>
    <row r="488" spans="1:6" x14ac:dyDescent="0.25">
      <c r="A488" s="375"/>
      <c r="B488" s="329"/>
      <c r="C488" s="383"/>
      <c r="D488" s="256" t="s">
        <v>152</v>
      </c>
      <c r="E488" s="111">
        <f>'Прил 11 Перечень мероприятий'!J381</f>
        <v>55.8</v>
      </c>
      <c r="F488" s="364"/>
    </row>
    <row r="489" spans="1:6" x14ac:dyDescent="0.25">
      <c r="A489" s="376"/>
      <c r="B489" s="329"/>
      <c r="C489" s="383"/>
      <c r="D489" s="256" t="s">
        <v>153</v>
      </c>
      <c r="E489" s="111">
        <f>'Прил 11 Перечень мероприятий'!K381</f>
        <v>55.8</v>
      </c>
      <c r="F489" s="364"/>
    </row>
    <row r="490" spans="1:6" ht="15" customHeight="1" x14ac:dyDescent="0.25">
      <c r="A490" s="374" t="s">
        <v>523</v>
      </c>
      <c r="B490" s="329" t="s">
        <v>132</v>
      </c>
      <c r="C490" s="383" t="s">
        <v>547</v>
      </c>
      <c r="D490" s="110" t="s">
        <v>91</v>
      </c>
      <c r="E490" s="99">
        <f>E491+E492+E493+E494+E495</f>
        <v>418.5</v>
      </c>
      <c r="F490" s="364"/>
    </row>
    <row r="491" spans="1:6" x14ac:dyDescent="0.25">
      <c r="A491" s="375"/>
      <c r="B491" s="329"/>
      <c r="C491" s="383"/>
      <c r="D491" s="267" t="s">
        <v>5</v>
      </c>
      <c r="E491" s="111">
        <f>'Прил 11 Перечень мероприятий'!G385</f>
        <v>0</v>
      </c>
      <c r="F491" s="364"/>
    </row>
    <row r="492" spans="1:6" x14ac:dyDescent="0.25">
      <c r="A492" s="375"/>
      <c r="B492" s="329"/>
      <c r="C492" s="383"/>
      <c r="D492" s="267" t="s">
        <v>90</v>
      </c>
      <c r="E492" s="111">
        <f>'Прил 11 Перечень мероприятий'!H385</f>
        <v>0</v>
      </c>
      <c r="F492" s="364"/>
    </row>
    <row r="493" spans="1:6" x14ac:dyDescent="0.25">
      <c r="A493" s="375"/>
      <c r="B493" s="329"/>
      <c r="C493" s="383"/>
      <c r="D493" s="267" t="s">
        <v>135</v>
      </c>
      <c r="E493" s="111">
        <f>'Прил 11 Перечень мероприятий'!I385</f>
        <v>139.5</v>
      </c>
      <c r="F493" s="364"/>
    </row>
    <row r="494" spans="1:6" x14ac:dyDescent="0.25">
      <c r="A494" s="375"/>
      <c r="B494" s="329"/>
      <c r="C494" s="383"/>
      <c r="D494" s="267" t="s">
        <v>152</v>
      </c>
      <c r="E494" s="111">
        <f>'Прил 11 Перечень мероприятий'!J385</f>
        <v>139.5</v>
      </c>
      <c r="F494" s="364"/>
    </row>
    <row r="495" spans="1:6" x14ac:dyDescent="0.25">
      <c r="A495" s="376"/>
      <c r="B495" s="329"/>
      <c r="C495" s="383"/>
      <c r="D495" s="267" t="s">
        <v>153</v>
      </c>
      <c r="E495" s="111">
        <f>'Прил 11 Перечень мероприятий'!K385</f>
        <v>139.5</v>
      </c>
      <c r="F495" s="364"/>
    </row>
    <row r="496" spans="1:6" ht="15" customHeight="1" x14ac:dyDescent="0.25">
      <c r="A496" s="387" t="s">
        <v>524</v>
      </c>
      <c r="B496" s="329" t="s">
        <v>132</v>
      </c>
      <c r="C496" s="383" t="s">
        <v>528</v>
      </c>
      <c r="D496" s="110" t="s">
        <v>91</v>
      </c>
      <c r="E496" s="99">
        <f>E497+E498+E499+E500+E501</f>
        <v>100</v>
      </c>
      <c r="F496" s="364"/>
    </row>
    <row r="497" spans="1:6" x14ac:dyDescent="0.25">
      <c r="A497" s="375"/>
      <c r="B497" s="329"/>
      <c r="C497" s="383"/>
      <c r="D497" s="256" t="s">
        <v>5</v>
      </c>
      <c r="E497" s="111">
        <f>'Прил 11 Перечень мероприятий'!G389</f>
        <v>0</v>
      </c>
      <c r="F497" s="364"/>
    </row>
    <row r="498" spans="1:6" x14ac:dyDescent="0.25">
      <c r="A498" s="375"/>
      <c r="B498" s="329"/>
      <c r="C498" s="383"/>
      <c r="D498" s="256" t="s">
        <v>90</v>
      </c>
      <c r="E498" s="111">
        <f>'Прил 11 Перечень мероприятий'!H389</f>
        <v>100</v>
      </c>
      <c r="F498" s="364"/>
    </row>
    <row r="499" spans="1:6" x14ac:dyDescent="0.25">
      <c r="A499" s="375"/>
      <c r="B499" s="329"/>
      <c r="C499" s="383"/>
      <c r="D499" s="256" t="s">
        <v>135</v>
      </c>
      <c r="E499" s="111">
        <f>'Прил 11 Перечень мероприятий'!I389</f>
        <v>0</v>
      </c>
      <c r="F499" s="364"/>
    </row>
    <row r="500" spans="1:6" x14ac:dyDescent="0.25">
      <c r="A500" s="375"/>
      <c r="B500" s="329"/>
      <c r="C500" s="383"/>
      <c r="D500" s="256" t="s">
        <v>152</v>
      </c>
      <c r="E500" s="111">
        <f>'Прил 11 Перечень мероприятий'!J389</f>
        <v>0</v>
      </c>
      <c r="F500" s="364"/>
    </row>
    <row r="501" spans="1:6" x14ac:dyDescent="0.25">
      <c r="A501" s="376"/>
      <c r="B501" s="329"/>
      <c r="C501" s="383"/>
      <c r="D501" s="256" t="s">
        <v>153</v>
      </c>
      <c r="E501" s="111">
        <f>'Прил 11 Перечень мероприятий'!K389</f>
        <v>0</v>
      </c>
      <c r="F501" s="364"/>
    </row>
    <row r="502" spans="1:6" x14ac:dyDescent="0.25">
      <c r="A502" s="374" t="s">
        <v>571</v>
      </c>
      <c r="B502" s="329" t="s">
        <v>132</v>
      </c>
      <c r="C502" s="383" t="s">
        <v>529</v>
      </c>
      <c r="D502" s="110" t="s">
        <v>91</v>
      </c>
      <c r="E502" s="99">
        <f>E503+E504+E505+E506+E507</f>
        <v>1048</v>
      </c>
      <c r="F502" s="364"/>
    </row>
    <row r="503" spans="1:6" x14ac:dyDescent="0.25">
      <c r="A503" s="375"/>
      <c r="B503" s="329"/>
      <c r="C503" s="383"/>
      <c r="D503" s="256" t="s">
        <v>5</v>
      </c>
      <c r="E503" s="111">
        <f>'Прил 11 Перечень мероприятий'!G393</f>
        <v>0</v>
      </c>
      <c r="F503" s="364"/>
    </row>
    <row r="504" spans="1:6" x14ac:dyDescent="0.25">
      <c r="A504" s="375"/>
      <c r="B504" s="329"/>
      <c r="C504" s="383"/>
      <c r="D504" s="256" t="s">
        <v>90</v>
      </c>
      <c r="E504" s="111">
        <f>'Прил 11 Перечень мероприятий'!H393</f>
        <v>250</v>
      </c>
      <c r="F504" s="364"/>
    </row>
    <row r="505" spans="1:6" x14ac:dyDescent="0.25">
      <c r="A505" s="375"/>
      <c r="B505" s="329"/>
      <c r="C505" s="383"/>
      <c r="D505" s="256" t="s">
        <v>135</v>
      </c>
      <c r="E505" s="111">
        <f>'Прил 11 Перечень мероприятий'!I393</f>
        <v>266</v>
      </c>
      <c r="F505" s="364"/>
    </row>
    <row r="506" spans="1:6" x14ac:dyDescent="0.25">
      <c r="A506" s="375"/>
      <c r="B506" s="329"/>
      <c r="C506" s="383"/>
      <c r="D506" s="256" t="s">
        <v>152</v>
      </c>
      <c r="E506" s="111">
        <f>'Прил 11 Перечень мероприятий'!J393</f>
        <v>266</v>
      </c>
      <c r="F506" s="364"/>
    </row>
    <row r="507" spans="1:6" x14ac:dyDescent="0.25">
      <c r="A507" s="376"/>
      <c r="B507" s="329"/>
      <c r="C507" s="383"/>
      <c r="D507" s="256" t="s">
        <v>153</v>
      </c>
      <c r="E507" s="111">
        <f>'Прил 11 Перечень мероприятий'!K393</f>
        <v>266</v>
      </c>
      <c r="F507" s="364"/>
    </row>
    <row r="508" spans="1:6" x14ac:dyDescent="0.25">
      <c r="A508" s="388" t="s">
        <v>570</v>
      </c>
      <c r="B508" s="329" t="s">
        <v>14</v>
      </c>
      <c r="C508" s="383" t="s">
        <v>530</v>
      </c>
      <c r="D508" s="110" t="s">
        <v>91</v>
      </c>
      <c r="E508" s="99">
        <f>E509+E510+E511+E512+E513</f>
        <v>200</v>
      </c>
      <c r="F508" s="374"/>
    </row>
    <row r="509" spans="1:6" x14ac:dyDescent="0.25">
      <c r="A509" s="375"/>
      <c r="B509" s="329"/>
      <c r="C509" s="383"/>
      <c r="D509" s="256" t="s">
        <v>5</v>
      </c>
      <c r="E509" s="111">
        <f>'Прил 11 Перечень мероприятий'!G397</f>
        <v>0</v>
      </c>
      <c r="F509" s="375"/>
    </row>
    <row r="510" spans="1:6" x14ac:dyDescent="0.25">
      <c r="A510" s="375"/>
      <c r="B510" s="329"/>
      <c r="C510" s="383"/>
      <c r="D510" s="256" t="s">
        <v>90</v>
      </c>
      <c r="E510" s="111">
        <f>'Прил 11 Перечень мероприятий'!H397</f>
        <v>50</v>
      </c>
      <c r="F510" s="375"/>
    </row>
    <row r="511" spans="1:6" x14ac:dyDescent="0.25">
      <c r="A511" s="375"/>
      <c r="B511" s="329"/>
      <c r="C511" s="383"/>
      <c r="D511" s="256" t="s">
        <v>135</v>
      </c>
      <c r="E511" s="111">
        <f>'Прил 11 Перечень мероприятий'!I397</f>
        <v>50</v>
      </c>
      <c r="F511" s="375"/>
    </row>
    <row r="512" spans="1:6" x14ac:dyDescent="0.25">
      <c r="A512" s="375"/>
      <c r="B512" s="329"/>
      <c r="C512" s="383"/>
      <c r="D512" s="256" t="s">
        <v>152</v>
      </c>
      <c r="E512" s="111">
        <f>'Прил 11 Перечень мероприятий'!J397</f>
        <v>50</v>
      </c>
      <c r="F512" s="375"/>
    </row>
    <row r="513" spans="1:6" x14ac:dyDescent="0.25">
      <c r="A513" s="376"/>
      <c r="B513" s="329"/>
      <c r="C513" s="383"/>
      <c r="D513" s="256" t="s">
        <v>153</v>
      </c>
      <c r="E513" s="111">
        <f>'Прил 11 Перечень мероприятий'!K397</f>
        <v>50</v>
      </c>
      <c r="F513" s="376"/>
    </row>
    <row r="514" spans="1:6" x14ac:dyDescent="0.25">
      <c r="A514" s="388" t="s">
        <v>569</v>
      </c>
      <c r="B514" s="329" t="s">
        <v>14</v>
      </c>
      <c r="C514" s="383" t="s">
        <v>572</v>
      </c>
      <c r="D514" s="110" t="s">
        <v>91</v>
      </c>
      <c r="E514" s="99">
        <f>E515+E516+E517+E518+E519</f>
        <v>82.4</v>
      </c>
      <c r="F514" s="374"/>
    </row>
    <row r="515" spans="1:6" x14ac:dyDescent="0.25">
      <c r="A515" s="375"/>
      <c r="B515" s="329"/>
      <c r="C515" s="383"/>
      <c r="D515" s="283" t="s">
        <v>5</v>
      </c>
      <c r="E515" s="111">
        <f>'Прил 11 Перечень мероприятий'!G401</f>
        <v>0</v>
      </c>
      <c r="F515" s="375"/>
    </row>
    <row r="516" spans="1:6" x14ac:dyDescent="0.25">
      <c r="A516" s="375"/>
      <c r="B516" s="329"/>
      <c r="C516" s="383"/>
      <c r="D516" s="283" t="s">
        <v>90</v>
      </c>
      <c r="E516" s="111">
        <f>'Прил 11 Перечень мероприятий'!H401</f>
        <v>82.4</v>
      </c>
      <c r="F516" s="375"/>
    </row>
    <row r="517" spans="1:6" x14ac:dyDescent="0.25">
      <c r="A517" s="375"/>
      <c r="B517" s="329"/>
      <c r="C517" s="383"/>
      <c r="D517" s="283" t="s">
        <v>135</v>
      </c>
      <c r="E517" s="111">
        <f>'Прил 11 Перечень мероприятий'!J401</f>
        <v>0</v>
      </c>
      <c r="F517" s="375"/>
    </row>
    <row r="518" spans="1:6" x14ac:dyDescent="0.25">
      <c r="A518" s="375"/>
      <c r="B518" s="329"/>
      <c r="C518" s="383"/>
      <c r="D518" s="283" t="s">
        <v>152</v>
      </c>
      <c r="E518" s="111">
        <f>'Прил 11 Перечень мероприятий'!J401</f>
        <v>0</v>
      </c>
      <c r="F518" s="375"/>
    </row>
    <row r="519" spans="1:6" x14ac:dyDescent="0.25">
      <c r="A519" s="376"/>
      <c r="B519" s="329"/>
      <c r="C519" s="383"/>
      <c r="D519" s="283" t="s">
        <v>153</v>
      </c>
      <c r="E519" s="111">
        <f>'Прил 11 Перечень мероприятий'!K401</f>
        <v>0</v>
      </c>
      <c r="F519" s="376"/>
    </row>
    <row r="520" spans="1:6" ht="30" customHeight="1" x14ac:dyDescent="0.25">
      <c r="A520" s="389" t="s">
        <v>295</v>
      </c>
      <c r="B520" s="390"/>
      <c r="C520" s="390"/>
      <c r="D520" s="390"/>
      <c r="E520" s="390"/>
      <c r="F520" s="391"/>
    </row>
    <row r="521" spans="1:6" ht="30" customHeight="1" x14ac:dyDescent="0.25">
      <c r="A521" s="392" t="s">
        <v>149</v>
      </c>
      <c r="B521" s="393"/>
      <c r="C521" s="393"/>
      <c r="D521" s="393"/>
      <c r="E521" s="393"/>
      <c r="F521" s="394"/>
    </row>
    <row r="522" spans="1:6" ht="15" customHeight="1" x14ac:dyDescent="0.25">
      <c r="A522" s="374" t="s">
        <v>397</v>
      </c>
      <c r="B522" s="329" t="s">
        <v>132</v>
      </c>
      <c r="C522" s="377" t="s">
        <v>576</v>
      </c>
      <c r="D522" s="110" t="s">
        <v>91</v>
      </c>
      <c r="E522" s="99">
        <f>E523+E524+E525+E526+E527</f>
        <v>6671.6</v>
      </c>
      <c r="F522" s="364"/>
    </row>
    <row r="523" spans="1:6" x14ac:dyDescent="0.25">
      <c r="A523" s="375"/>
      <c r="B523" s="329"/>
      <c r="C523" s="378"/>
      <c r="D523" s="283" t="s">
        <v>5</v>
      </c>
      <c r="E523" s="111">
        <f>'Прил 11 Перечень мероприятий'!G414</f>
        <v>1202.5</v>
      </c>
      <c r="F523" s="364"/>
    </row>
    <row r="524" spans="1:6" x14ac:dyDescent="0.25">
      <c r="A524" s="375"/>
      <c r="B524" s="329"/>
      <c r="C524" s="378"/>
      <c r="D524" s="283" t="s">
        <v>90</v>
      </c>
      <c r="E524" s="111">
        <f>'Прил 11 Перечень мероприятий'!H414</f>
        <v>5469.1</v>
      </c>
      <c r="F524" s="364"/>
    </row>
    <row r="525" spans="1:6" x14ac:dyDescent="0.25">
      <c r="A525" s="375"/>
      <c r="B525" s="329"/>
      <c r="C525" s="378"/>
      <c r="D525" s="283" t="s">
        <v>135</v>
      </c>
      <c r="E525" s="111">
        <f>'Прил 11 Перечень мероприятий'!I414</f>
        <v>0</v>
      </c>
      <c r="F525" s="364"/>
    </row>
    <row r="526" spans="1:6" x14ac:dyDescent="0.25">
      <c r="A526" s="375"/>
      <c r="B526" s="329"/>
      <c r="C526" s="378"/>
      <c r="D526" s="283" t="s">
        <v>152</v>
      </c>
      <c r="E526" s="111">
        <f>'Прил 11 Перечень мероприятий'!J414</f>
        <v>0</v>
      </c>
      <c r="F526" s="364"/>
    </row>
    <row r="527" spans="1:6" x14ac:dyDescent="0.25">
      <c r="A527" s="376"/>
      <c r="B527" s="329"/>
      <c r="C527" s="379"/>
      <c r="D527" s="283" t="s">
        <v>153</v>
      </c>
      <c r="E527" s="111">
        <f>'Прил 11 Перечень мероприятий'!K414</f>
        <v>0</v>
      </c>
      <c r="F527" s="364"/>
    </row>
    <row r="528" spans="1:6" x14ac:dyDescent="0.25">
      <c r="A528" s="374" t="s">
        <v>573</v>
      </c>
      <c r="B528" s="329" t="s">
        <v>132</v>
      </c>
      <c r="C528" s="377" t="s">
        <v>574</v>
      </c>
      <c r="D528" s="110" t="s">
        <v>91</v>
      </c>
      <c r="E528" s="99">
        <f>E529+E530+E531+E532+E533</f>
        <v>1180.7</v>
      </c>
      <c r="F528" s="364"/>
    </row>
    <row r="529" spans="1:6" x14ac:dyDescent="0.25">
      <c r="A529" s="375"/>
      <c r="B529" s="329"/>
      <c r="C529" s="378"/>
      <c r="D529" s="283" t="s">
        <v>5</v>
      </c>
      <c r="E529" s="111">
        <f>'Прил 11 Перечень мероприятий'!G418</f>
        <v>0</v>
      </c>
      <c r="F529" s="364"/>
    </row>
    <row r="530" spans="1:6" x14ac:dyDescent="0.25">
      <c r="A530" s="375"/>
      <c r="B530" s="329"/>
      <c r="C530" s="378"/>
      <c r="D530" s="283" t="s">
        <v>90</v>
      </c>
      <c r="E530" s="111">
        <f>'Прил 11 Перечень мероприятий'!H418</f>
        <v>1180.7</v>
      </c>
      <c r="F530" s="364"/>
    </row>
    <row r="531" spans="1:6" x14ac:dyDescent="0.25">
      <c r="A531" s="375"/>
      <c r="B531" s="329"/>
      <c r="C531" s="378"/>
      <c r="D531" s="283" t="s">
        <v>135</v>
      </c>
      <c r="E531" s="111">
        <f>'Прил 11 Перечень мероприятий'!I418</f>
        <v>0</v>
      </c>
      <c r="F531" s="364"/>
    </row>
    <row r="532" spans="1:6" x14ac:dyDescent="0.25">
      <c r="A532" s="375"/>
      <c r="B532" s="329"/>
      <c r="C532" s="378"/>
      <c r="D532" s="283" t="s">
        <v>152</v>
      </c>
      <c r="E532" s="111">
        <f>'Прил 11 Перечень мероприятий'!J418</f>
        <v>0</v>
      </c>
      <c r="F532" s="364"/>
    </row>
    <row r="533" spans="1:6" x14ac:dyDescent="0.25">
      <c r="A533" s="376"/>
      <c r="B533" s="329"/>
      <c r="C533" s="379"/>
      <c r="D533" s="283" t="s">
        <v>153</v>
      </c>
      <c r="E533" s="111">
        <f>'Прил 11 Перечень мероприятий'!K418</f>
        <v>0</v>
      </c>
      <c r="F533" s="364"/>
    </row>
    <row r="534" spans="1:6" ht="24" customHeight="1" x14ac:dyDescent="0.25">
      <c r="A534" s="384" t="s">
        <v>258</v>
      </c>
      <c r="B534" s="395"/>
      <c r="C534" s="395"/>
      <c r="D534" s="395"/>
      <c r="E534" s="395"/>
      <c r="F534" s="396"/>
    </row>
    <row r="535" spans="1:6" x14ac:dyDescent="0.25">
      <c r="A535" s="374" t="s">
        <v>261</v>
      </c>
      <c r="B535" s="329" t="s">
        <v>132</v>
      </c>
      <c r="C535" s="377" t="s">
        <v>154</v>
      </c>
      <c r="D535" s="110" t="s">
        <v>91</v>
      </c>
      <c r="E535" s="98">
        <f>E536+E537+E538+E539+E540</f>
        <v>1000</v>
      </c>
      <c r="F535" s="364"/>
    </row>
    <row r="536" spans="1:6" x14ac:dyDescent="0.25">
      <c r="A536" s="375"/>
      <c r="B536" s="329"/>
      <c r="C536" s="378"/>
      <c r="D536" s="251" t="s">
        <v>5</v>
      </c>
      <c r="E536" s="111">
        <f>'Прил 11 Перечень мероприятий'!G426</f>
        <v>1000</v>
      </c>
      <c r="F536" s="364"/>
    </row>
    <row r="537" spans="1:6" x14ac:dyDescent="0.25">
      <c r="A537" s="375"/>
      <c r="B537" s="329"/>
      <c r="C537" s="378"/>
      <c r="D537" s="251" t="s">
        <v>90</v>
      </c>
      <c r="E537" s="111">
        <f>'Прил 11 Перечень мероприятий'!H426</f>
        <v>0</v>
      </c>
      <c r="F537" s="364"/>
    </row>
    <row r="538" spans="1:6" x14ac:dyDescent="0.25">
      <c r="A538" s="375"/>
      <c r="B538" s="329"/>
      <c r="C538" s="378"/>
      <c r="D538" s="251" t="s">
        <v>135</v>
      </c>
      <c r="E538" s="111">
        <f>'Прил 11 Перечень мероприятий'!I426</f>
        <v>0</v>
      </c>
      <c r="F538" s="364"/>
    </row>
    <row r="539" spans="1:6" x14ac:dyDescent="0.25">
      <c r="A539" s="375"/>
      <c r="B539" s="329"/>
      <c r="C539" s="378"/>
      <c r="D539" s="251" t="s">
        <v>152</v>
      </c>
      <c r="E539" s="111">
        <f>'Прил 11 Перечень мероприятий'!J426</f>
        <v>0</v>
      </c>
      <c r="F539" s="364"/>
    </row>
    <row r="540" spans="1:6" x14ac:dyDescent="0.25">
      <c r="A540" s="375"/>
      <c r="B540" s="329"/>
      <c r="C540" s="378"/>
      <c r="D540" s="251" t="s">
        <v>153</v>
      </c>
      <c r="E540" s="111">
        <f>'Прил 11 Перечень мероприятий'!K426</f>
        <v>0</v>
      </c>
      <c r="F540" s="364"/>
    </row>
    <row r="541" spans="1:6" x14ac:dyDescent="0.25">
      <c r="A541" s="375"/>
      <c r="B541" s="329" t="s">
        <v>14</v>
      </c>
      <c r="C541" s="378"/>
      <c r="D541" s="110" t="s">
        <v>91</v>
      </c>
      <c r="E541" s="98">
        <f>E542+E543+E544+E545+E546</f>
        <v>4465</v>
      </c>
      <c r="F541" s="364"/>
    </row>
    <row r="542" spans="1:6" x14ac:dyDescent="0.25">
      <c r="A542" s="375"/>
      <c r="B542" s="329"/>
      <c r="C542" s="378"/>
      <c r="D542" s="251" t="s">
        <v>5</v>
      </c>
      <c r="E542" s="111">
        <f>'Прил 11 Перечень мероприятий'!G427</f>
        <v>4465</v>
      </c>
      <c r="F542" s="364"/>
    </row>
    <row r="543" spans="1:6" x14ac:dyDescent="0.25">
      <c r="A543" s="375"/>
      <c r="B543" s="329"/>
      <c r="C543" s="378"/>
      <c r="D543" s="251" t="s">
        <v>90</v>
      </c>
      <c r="E543" s="111">
        <f>'Прил 11 Перечень мероприятий'!H427</f>
        <v>0</v>
      </c>
      <c r="F543" s="364"/>
    </row>
    <row r="544" spans="1:6" x14ac:dyDescent="0.25">
      <c r="A544" s="375"/>
      <c r="B544" s="329"/>
      <c r="C544" s="378"/>
      <c r="D544" s="251" t="s">
        <v>135</v>
      </c>
      <c r="E544" s="111">
        <f>'Прил 11 Перечень мероприятий'!I427</f>
        <v>0</v>
      </c>
      <c r="F544" s="364"/>
    </row>
    <row r="545" spans="1:6" x14ac:dyDescent="0.25">
      <c r="A545" s="375"/>
      <c r="B545" s="329"/>
      <c r="C545" s="378"/>
      <c r="D545" s="251" t="s">
        <v>152</v>
      </c>
      <c r="E545" s="111">
        <f>'Прил 11 Перечень мероприятий'!J427</f>
        <v>0</v>
      </c>
      <c r="F545" s="364"/>
    </row>
    <row r="546" spans="1:6" x14ac:dyDescent="0.25">
      <c r="A546" s="375"/>
      <c r="B546" s="374"/>
      <c r="C546" s="378"/>
      <c r="D546" s="254" t="s">
        <v>153</v>
      </c>
      <c r="E546" s="177">
        <f>'Прил 11 Перечень мероприятий'!K427</f>
        <v>0</v>
      </c>
      <c r="F546" s="380"/>
    </row>
    <row r="547" spans="1:6" x14ac:dyDescent="0.25">
      <c r="A547" s="374" t="s">
        <v>341</v>
      </c>
      <c r="B547" s="329" t="s">
        <v>132</v>
      </c>
      <c r="C547" s="377" t="s">
        <v>154</v>
      </c>
      <c r="D547" s="110" t="s">
        <v>91</v>
      </c>
      <c r="E547" s="99">
        <f>E548+E549+E550+E551+E552</f>
        <v>4053.3</v>
      </c>
      <c r="F547" s="364"/>
    </row>
    <row r="548" spans="1:6" x14ac:dyDescent="0.25">
      <c r="A548" s="375"/>
      <c r="B548" s="329"/>
      <c r="C548" s="378"/>
      <c r="D548" s="251" t="s">
        <v>5</v>
      </c>
      <c r="E548" s="111">
        <f>'Прил 11 Перечень мероприятий'!G430</f>
        <v>1557</v>
      </c>
      <c r="F548" s="364"/>
    </row>
    <row r="549" spans="1:6" x14ac:dyDescent="0.25">
      <c r="A549" s="375"/>
      <c r="B549" s="329"/>
      <c r="C549" s="378"/>
      <c r="D549" s="251" t="s">
        <v>90</v>
      </c>
      <c r="E549" s="111">
        <f>'Прил 11 Перечень мероприятий'!H430</f>
        <v>2496.3000000000002</v>
      </c>
      <c r="F549" s="364"/>
    </row>
    <row r="550" spans="1:6" x14ac:dyDescent="0.25">
      <c r="A550" s="375"/>
      <c r="B550" s="329"/>
      <c r="C550" s="378"/>
      <c r="D550" s="251" t="s">
        <v>135</v>
      </c>
      <c r="E550" s="111">
        <f>'Прил 11 Перечень мероприятий'!I430</f>
        <v>0</v>
      </c>
      <c r="F550" s="364"/>
    </row>
    <row r="551" spans="1:6" x14ac:dyDescent="0.25">
      <c r="A551" s="375"/>
      <c r="B551" s="329"/>
      <c r="C551" s="378"/>
      <c r="D551" s="251" t="s">
        <v>152</v>
      </c>
      <c r="E551" s="111">
        <f>'Прил 11 Перечень мероприятий'!J430</f>
        <v>0</v>
      </c>
      <c r="F551" s="364"/>
    </row>
    <row r="552" spans="1:6" x14ac:dyDescent="0.25">
      <c r="A552" s="376"/>
      <c r="B552" s="329"/>
      <c r="C552" s="379"/>
      <c r="D552" s="251" t="s">
        <v>153</v>
      </c>
      <c r="E552" s="111">
        <f>'Прил 11 Перечень мероприятий'!K430</f>
        <v>0</v>
      </c>
      <c r="F552" s="364"/>
    </row>
    <row r="553" spans="1:6" x14ac:dyDescent="0.25">
      <c r="A553" s="387" t="s">
        <v>342</v>
      </c>
      <c r="B553" s="329" t="s">
        <v>132</v>
      </c>
      <c r="C553" s="377" t="s">
        <v>154</v>
      </c>
      <c r="D553" s="110" t="s">
        <v>91</v>
      </c>
      <c r="E553" s="99">
        <f>E554+E555+E556+E557+E558</f>
        <v>100</v>
      </c>
      <c r="F553" s="364"/>
    </row>
    <row r="554" spans="1:6" x14ac:dyDescent="0.25">
      <c r="A554" s="375"/>
      <c r="B554" s="329"/>
      <c r="C554" s="378"/>
      <c r="D554" s="251" t="s">
        <v>5</v>
      </c>
      <c r="E554" s="111">
        <f>'Прил 11 Перечень мероприятий'!G434</f>
        <v>100</v>
      </c>
      <c r="F554" s="364"/>
    </row>
    <row r="555" spans="1:6" x14ac:dyDescent="0.25">
      <c r="A555" s="375"/>
      <c r="B555" s="329"/>
      <c r="C555" s="378"/>
      <c r="D555" s="251" t="s">
        <v>90</v>
      </c>
      <c r="E555" s="111">
        <f>'Прил 11 Перечень мероприятий'!H434</f>
        <v>0</v>
      </c>
      <c r="F555" s="364"/>
    </row>
    <row r="556" spans="1:6" x14ac:dyDescent="0.25">
      <c r="A556" s="375"/>
      <c r="B556" s="329"/>
      <c r="C556" s="378"/>
      <c r="D556" s="251" t="s">
        <v>135</v>
      </c>
      <c r="E556" s="111">
        <f>'Прил 11 Перечень мероприятий'!I434</f>
        <v>0</v>
      </c>
      <c r="F556" s="364"/>
    </row>
    <row r="557" spans="1:6" x14ac:dyDescent="0.25">
      <c r="A557" s="375"/>
      <c r="B557" s="329"/>
      <c r="C557" s="378"/>
      <c r="D557" s="251" t="s">
        <v>152</v>
      </c>
      <c r="E557" s="111">
        <f>'Прил 11 Перечень мероприятий'!J434</f>
        <v>0</v>
      </c>
      <c r="F557" s="364"/>
    </row>
    <row r="558" spans="1:6" x14ac:dyDescent="0.25">
      <c r="A558" s="376"/>
      <c r="B558" s="329"/>
      <c r="C558" s="379"/>
      <c r="D558" s="251" t="s">
        <v>153</v>
      </c>
      <c r="E558" s="111">
        <f>'Прил 11 Перечень мероприятий'!K434</f>
        <v>0</v>
      </c>
      <c r="F558" s="364"/>
    </row>
    <row r="559" spans="1:6" x14ac:dyDescent="0.25">
      <c r="A559" s="387" t="s">
        <v>432</v>
      </c>
      <c r="B559" s="329" t="s">
        <v>132</v>
      </c>
      <c r="C559" s="377" t="s">
        <v>154</v>
      </c>
      <c r="D559" s="110" t="s">
        <v>91</v>
      </c>
      <c r="E559" s="99">
        <f>E560+E561+E562+E563+E564</f>
        <v>720.7</v>
      </c>
      <c r="F559" s="364"/>
    </row>
    <row r="560" spans="1:6" x14ac:dyDescent="0.25">
      <c r="A560" s="375"/>
      <c r="B560" s="329"/>
      <c r="C560" s="378"/>
      <c r="D560" s="251" t="s">
        <v>5</v>
      </c>
      <c r="E560" s="111">
        <f>'Прил 11 Перечень мероприятий'!G438</f>
        <v>0</v>
      </c>
      <c r="F560" s="364"/>
    </row>
    <row r="561" spans="1:6" x14ac:dyDescent="0.25">
      <c r="A561" s="375"/>
      <c r="B561" s="329"/>
      <c r="C561" s="378"/>
      <c r="D561" s="251" t="s">
        <v>90</v>
      </c>
      <c r="E561" s="111">
        <f>'Прил 11 Перечень мероприятий'!H438</f>
        <v>720.7</v>
      </c>
      <c r="F561" s="364"/>
    </row>
    <row r="562" spans="1:6" x14ac:dyDescent="0.25">
      <c r="A562" s="375"/>
      <c r="B562" s="329"/>
      <c r="C562" s="378"/>
      <c r="D562" s="251" t="s">
        <v>135</v>
      </c>
      <c r="E562" s="111">
        <f>'Прил 11 Перечень мероприятий'!I438</f>
        <v>0</v>
      </c>
      <c r="F562" s="364"/>
    </row>
    <row r="563" spans="1:6" x14ac:dyDescent="0.25">
      <c r="A563" s="375"/>
      <c r="B563" s="329"/>
      <c r="C563" s="378"/>
      <c r="D563" s="251" t="s">
        <v>152</v>
      </c>
      <c r="E563" s="111">
        <f>'Прил 11 Перечень мероприятий'!J438</f>
        <v>0</v>
      </c>
      <c r="F563" s="364"/>
    </row>
    <row r="564" spans="1:6" x14ac:dyDescent="0.25">
      <c r="A564" s="376"/>
      <c r="B564" s="329"/>
      <c r="C564" s="379"/>
      <c r="D564" s="251" t="s">
        <v>153</v>
      </c>
      <c r="E564" s="111">
        <f>'Прил 11 Перечень мероприятий'!K438</f>
        <v>0</v>
      </c>
      <c r="F564" s="364"/>
    </row>
    <row r="565" spans="1:6" ht="27.75" customHeight="1" x14ac:dyDescent="0.25">
      <c r="A565" s="384" t="s">
        <v>260</v>
      </c>
      <c r="B565" s="395"/>
      <c r="C565" s="395"/>
      <c r="D565" s="395"/>
      <c r="E565" s="395"/>
      <c r="F565" s="396"/>
    </row>
    <row r="566" spans="1:6" x14ac:dyDescent="0.25">
      <c r="A566" s="374" t="s">
        <v>262</v>
      </c>
      <c r="B566" s="329" t="s">
        <v>132</v>
      </c>
      <c r="C566" s="377" t="s">
        <v>154</v>
      </c>
      <c r="D566" s="110" t="s">
        <v>91</v>
      </c>
      <c r="E566" s="98">
        <f>E567+E568+E569+E570+E571</f>
        <v>6354.4</v>
      </c>
      <c r="F566" s="364"/>
    </row>
    <row r="567" spans="1:6" x14ac:dyDescent="0.25">
      <c r="A567" s="375"/>
      <c r="B567" s="329"/>
      <c r="C567" s="378"/>
      <c r="D567" s="251" t="s">
        <v>5</v>
      </c>
      <c r="E567" s="111">
        <f>'Прил 11 Перечень мероприятий'!G446</f>
        <v>6354.4</v>
      </c>
      <c r="F567" s="364"/>
    </row>
    <row r="568" spans="1:6" x14ac:dyDescent="0.25">
      <c r="A568" s="375"/>
      <c r="B568" s="329"/>
      <c r="C568" s="378"/>
      <c r="D568" s="251" t="s">
        <v>90</v>
      </c>
      <c r="E568" s="111">
        <f>'Прил 11 Перечень мероприятий'!H446</f>
        <v>0</v>
      </c>
      <c r="F568" s="364"/>
    </row>
    <row r="569" spans="1:6" x14ac:dyDescent="0.25">
      <c r="A569" s="375"/>
      <c r="B569" s="329"/>
      <c r="C569" s="378"/>
      <c r="D569" s="251" t="s">
        <v>135</v>
      </c>
      <c r="E569" s="111">
        <f>'Прил 11 Перечень мероприятий'!I446</f>
        <v>0</v>
      </c>
      <c r="F569" s="364"/>
    </row>
    <row r="570" spans="1:6" x14ac:dyDescent="0.25">
      <c r="A570" s="375"/>
      <c r="B570" s="329"/>
      <c r="C570" s="378"/>
      <c r="D570" s="251" t="s">
        <v>152</v>
      </c>
      <c r="E570" s="111">
        <f>'Прил 11 Перечень мероприятий'!J446</f>
        <v>0</v>
      </c>
      <c r="F570" s="364"/>
    </row>
    <row r="571" spans="1:6" x14ac:dyDescent="0.25">
      <c r="A571" s="375"/>
      <c r="B571" s="329"/>
      <c r="C571" s="378"/>
      <c r="D571" s="251" t="s">
        <v>153</v>
      </c>
      <c r="E571" s="111">
        <f>'Прил 11 Перечень мероприятий'!K446</f>
        <v>0</v>
      </c>
      <c r="F571" s="364"/>
    </row>
    <row r="572" spans="1:6" x14ac:dyDescent="0.25">
      <c r="A572" s="375"/>
      <c r="B572" s="329" t="s">
        <v>14</v>
      </c>
      <c r="C572" s="378"/>
      <c r="D572" s="110" t="s">
        <v>91</v>
      </c>
      <c r="E572" s="98">
        <f>E573+E574+E575+E576+E577</f>
        <v>19249.2</v>
      </c>
      <c r="F572" s="364"/>
    </row>
    <row r="573" spans="1:6" x14ac:dyDescent="0.25">
      <c r="A573" s="375"/>
      <c r="B573" s="329"/>
      <c r="C573" s="378"/>
      <c r="D573" s="251" t="s">
        <v>5</v>
      </c>
      <c r="E573" s="111">
        <f>'Прил 11 Перечень мероприятий'!G447</f>
        <v>19249.2</v>
      </c>
      <c r="F573" s="364"/>
    </row>
    <row r="574" spans="1:6" x14ac:dyDescent="0.25">
      <c r="A574" s="375"/>
      <c r="B574" s="329"/>
      <c r="C574" s="378"/>
      <c r="D574" s="251" t="s">
        <v>90</v>
      </c>
      <c r="E574" s="111">
        <f>'Прил 11 Перечень мероприятий'!H447</f>
        <v>0</v>
      </c>
      <c r="F574" s="364"/>
    </row>
    <row r="575" spans="1:6" x14ac:dyDescent="0.25">
      <c r="A575" s="375"/>
      <c r="B575" s="329"/>
      <c r="C575" s="378"/>
      <c r="D575" s="251" t="s">
        <v>135</v>
      </c>
      <c r="E575" s="111">
        <f>'Прил 11 Перечень мероприятий'!I447</f>
        <v>0</v>
      </c>
      <c r="F575" s="364"/>
    </row>
    <row r="576" spans="1:6" x14ac:dyDescent="0.25">
      <c r="A576" s="375"/>
      <c r="B576" s="329"/>
      <c r="C576" s="378"/>
      <c r="D576" s="251" t="s">
        <v>152</v>
      </c>
      <c r="E576" s="111">
        <f>'Прил 11 Перечень мероприятий'!J447</f>
        <v>0</v>
      </c>
      <c r="F576" s="364"/>
    </row>
    <row r="577" spans="1:6" x14ac:dyDescent="0.25">
      <c r="A577" s="375"/>
      <c r="B577" s="374"/>
      <c r="C577" s="378"/>
      <c r="D577" s="259" t="s">
        <v>153</v>
      </c>
      <c r="E577" s="177">
        <f>'Прил 11 Перечень мероприятий'!K447</f>
        <v>0</v>
      </c>
      <c r="F577" s="380"/>
    </row>
    <row r="578" spans="1:6" ht="22.5" customHeight="1" x14ac:dyDescent="0.25">
      <c r="A578" s="384" t="s">
        <v>567</v>
      </c>
      <c r="B578" s="395"/>
      <c r="C578" s="395"/>
      <c r="D578" s="395"/>
      <c r="E578" s="395"/>
      <c r="F578" s="396"/>
    </row>
    <row r="579" spans="1:6" ht="15" customHeight="1" x14ac:dyDescent="0.25">
      <c r="A579" s="374" t="s">
        <v>531</v>
      </c>
      <c r="B579" s="329" t="s">
        <v>132</v>
      </c>
      <c r="C579" s="401" t="s">
        <v>154</v>
      </c>
      <c r="D579" s="110" t="s">
        <v>91</v>
      </c>
      <c r="E579" s="99">
        <f>E580+E581+E582+E583+E584</f>
        <v>9605</v>
      </c>
      <c r="F579" s="329"/>
    </row>
    <row r="580" spans="1:6" x14ac:dyDescent="0.25">
      <c r="A580" s="375"/>
      <c r="B580" s="329"/>
      <c r="C580" s="402"/>
      <c r="D580" s="258" t="s">
        <v>5</v>
      </c>
      <c r="E580" s="111">
        <f>'Прил 11 Перечень мероприятий'!G454</f>
        <v>0</v>
      </c>
      <c r="F580" s="329"/>
    </row>
    <row r="581" spans="1:6" x14ac:dyDescent="0.25">
      <c r="A581" s="375"/>
      <c r="B581" s="329"/>
      <c r="C581" s="402"/>
      <c r="D581" s="258" t="s">
        <v>90</v>
      </c>
      <c r="E581" s="111">
        <f>'Прил 11 Перечень мероприятий'!H454</f>
        <v>3342.5</v>
      </c>
      <c r="F581" s="329"/>
    </row>
    <row r="582" spans="1:6" x14ac:dyDescent="0.25">
      <c r="A582" s="375"/>
      <c r="B582" s="329"/>
      <c r="C582" s="402"/>
      <c r="D582" s="258" t="s">
        <v>135</v>
      </c>
      <c r="E582" s="111">
        <f>'Прил 11 Перечень мероприятий'!I454</f>
        <v>6262.5</v>
      </c>
      <c r="F582" s="329"/>
    </row>
    <row r="583" spans="1:6" x14ac:dyDescent="0.25">
      <c r="A583" s="375"/>
      <c r="B583" s="329"/>
      <c r="C583" s="402"/>
      <c r="D583" s="258" t="s">
        <v>152</v>
      </c>
      <c r="E583" s="111">
        <f>'Прил 11 Перечень мероприятий'!J454</f>
        <v>0</v>
      </c>
      <c r="F583" s="329"/>
    </row>
    <row r="584" spans="1:6" x14ac:dyDescent="0.25">
      <c r="A584" s="375"/>
      <c r="B584" s="329"/>
      <c r="C584" s="402"/>
      <c r="D584" s="258" t="s">
        <v>153</v>
      </c>
      <c r="E584" s="111">
        <f>'Прил 11 Перечень мероприятий'!K454</f>
        <v>0</v>
      </c>
      <c r="F584" s="329"/>
    </row>
    <row r="585" spans="1:6" x14ac:dyDescent="0.25">
      <c r="A585" s="375"/>
      <c r="B585" s="374" t="s">
        <v>14</v>
      </c>
      <c r="C585" s="402"/>
      <c r="D585" s="110" t="s">
        <v>91</v>
      </c>
      <c r="E585" s="111">
        <f>E586+E587+E588+E589+E590</f>
        <v>9605</v>
      </c>
      <c r="F585" s="374"/>
    </row>
    <row r="586" spans="1:6" x14ac:dyDescent="0.25">
      <c r="A586" s="375"/>
      <c r="B586" s="375"/>
      <c r="C586" s="402"/>
      <c r="D586" s="258" t="s">
        <v>5</v>
      </c>
      <c r="E586" s="111">
        <f>'Прил 11 Перечень мероприятий'!G455</f>
        <v>0</v>
      </c>
      <c r="F586" s="375"/>
    </row>
    <row r="587" spans="1:6" x14ac:dyDescent="0.25">
      <c r="A587" s="375"/>
      <c r="B587" s="375"/>
      <c r="C587" s="402"/>
      <c r="D587" s="258" t="s">
        <v>90</v>
      </c>
      <c r="E587" s="111">
        <f>'Прил 11 Перечень мероприятий'!H455</f>
        <v>3342.5</v>
      </c>
      <c r="F587" s="375"/>
    </row>
    <row r="588" spans="1:6" x14ac:dyDescent="0.25">
      <c r="A588" s="375"/>
      <c r="B588" s="375"/>
      <c r="C588" s="402"/>
      <c r="D588" s="258" t="s">
        <v>135</v>
      </c>
      <c r="E588" s="111">
        <f>'Прил 11 Перечень мероприятий'!I455</f>
        <v>6262.5</v>
      </c>
      <c r="F588" s="375"/>
    </row>
    <row r="589" spans="1:6" x14ac:dyDescent="0.25">
      <c r="A589" s="375"/>
      <c r="B589" s="375"/>
      <c r="C589" s="402"/>
      <c r="D589" s="258" t="s">
        <v>152</v>
      </c>
      <c r="E589" s="111">
        <f>'Прил 11 Перечень мероприятий'!J455</f>
        <v>0</v>
      </c>
      <c r="F589" s="375"/>
    </row>
    <row r="590" spans="1:6" x14ac:dyDescent="0.25">
      <c r="A590" s="376"/>
      <c r="B590" s="376"/>
      <c r="C590" s="403"/>
      <c r="D590" s="258" t="s">
        <v>153</v>
      </c>
      <c r="E590" s="111">
        <f>'Прил 11 Перечень мероприятий'!K455</f>
        <v>0</v>
      </c>
      <c r="F590" s="376"/>
    </row>
    <row r="591" spans="1:6" s="278" customFormat="1" x14ac:dyDescent="0.25">
      <c r="A591" s="374" t="s">
        <v>644</v>
      </c>
      <c r="B591" s="329" t="s">
        <v>132</v>
      </c>
      <c r="C591" s="401" t="s">
        <v>154</v>
      </c>
      <c r="D591" s="110" t="s">
        <v>91</v>
      </c>
      <c r="E591" s="99">
        <f>E592+E593+E594+E595+E596</f>
        <v>8332.5</v>
      </c>
      <c r="F591" s="329"/>
    </row>
    <row r="592" spans="1:6" s="278" customFormat="1" x14ac:dyDescent="0.25">
      <c r="A592" s="375"/>
      <c r="B592" s="329"/>
      <c r="C592" s="402"/>
      <c r="D592" s="290" t="s">
        <v>5</v>
      </c>
      <c r="E592" s="111">
        <f>'Прил 11 Перечень мероприятий'!G458</f>
        <v>0</v>
      </c>
      <c r="F592" s="329"/>
    </row>
    <row r="593" spans="1:6" s="278" customFormat="1" x14ac:dyDescent="0.25">
      <c r="A593" s="375"/>
      <c r="B593" s="329"/>
      <c r="C593" s="402"/>
      <c r="D593" s="290" t="s">
        <v>90</v>
      </c>
      <c r="E593" s="111">
        <f>'Прил 11 Перечень мероприятий'!H458</f>
        <v>0</v>
      </c>
      <c r="F593" s="329"/>
    </row>
    <row r="594" spans="1:6" s="278" customFormat="1" x14ac:dyDescent="0.25">
      <c r="A594" s="375"/>
      <c r="B594" s="329"/>
      <c r="C594" s="402"/>
      <c r="D594" s="290" t="s">
        <v>135</v>
      </c>
      <c r="E594" s="111">
        <f>'Прил 11 Перечень мероприятий'!I458</f>
        <v>8332.5</v>
      </c>
      <c r="F594" s="329"/>
    </row>
    <row r="595" spans="1:6" s="278" customFormat="1" x14ac:dyDescent="0.25">
      <c r="A595" s="375"/>
      <c r="B595" s="329"/>
      <c r="C595" s="402"/>
      <c r="D595" s="290" t="s">
        <v>152</v>
      </c>
      <c r="E595" s="111">
        <f>'Прил 11 Перечень мероприятий'!J458</f>
        <v>0</v>
      </c>
      <c r="F595" s="329"/>
    </row>
    <row r="596" spans="1:6" s="278" customFormat="1" x14ac:dyDescent="0.25">
      <c r="A596" s="375"/>
      <c r="B596" s="329"/>
      <c r="C596" s="402"/>
      <c r="D596" s="290" t="s">
        <v>153</v>
      </c>
      <c r="E596" s="111">
        <f>'Прил 11 Перечень мероприятий'!K458</f>
        <v>0</v>
      </c>
      <c r="F596" s="329"/>
    </row>
    <row r="597" spans="1:6" s="278" customFormat="1" x14ac:dyDescent="0.25">
      <c r="A597" s="375"/>
      <c r="B597" s="374" t="s">
        <v>14</v>
      </c>
      <c r="C597" s="402"/>
      <c r="D597" s="110" t="s">
        <v>91</v>
      </c>
      <c r="E597" s="111">
        <f>E598+E599+E600+E601+E602</f>
        <v>193330.5</v>
      </c>
      <c r="F597" s="374"/>
    </row>
    <row r="598" spans="1:6" s="278" customFormat="1" x14ac:dyDescent="0.25">
      <c r="A598" s="375"/>
      <c r="B598" s="375"/>
      <c r="C598" s="402"/>
      <c r="D598" s="290" t="s">
        <v>5</v>
      </c>
      <c r="E598" s="111">
        <f>'Прил 11 Перечень мероприятий'!G459</f>
        <v>0</v>
      </c>
      <c r="F598" s="375"/>
    </row>
    <row r="599" spans="1:6" s="278" customFormat="1" x14ac:dyDescent="0.25">
      <c r="A599" s="375"/>
      <c r="B599" s="375"/>
      <c r="C599" s="402"/>
      <c r="D599" s="290" t="s">
        <v>90</v>
      </c>
      <c r="E599" s="111">
        <f>'Прил 11 Перечень мероприятий'!H459</f>
        <v>0</v>
      </c>
      <c r="F599" s="375"/>
    </row>
    <row r="600" spans="1:6" s="278" customFormat="1" x14ac:dyDescent="0.25">
      <c r="A600" s="375"/>
      <c r="B600" s="375"/>
      <c r="C600" s="402"/>
      <c r="D600" s="290" t="s">
        <v>135</v>
      </c>
      <c r="E600" s="111">
        <f>'Прил 11 Перечень мероприятий'!I459</f>
        <v>61332.5</v>
      </c>
      <c r="F600" s="375"/>
    </row>
    <row r="601" spans="1:6" s="278" customFormat="1" x14ac:dyDescent="0.25">
      <c r="A601" s="375"/>
      <c r="B601" s="375"/>
      <c r="C601" s="402"/>
      <c r="D601" s="290" t="s">
        <v>152</v>
      </c>
      <c r="E601" s="111">
        <f>'Прил 11 Перечень мероприятий'!J459</f>
        <v>131998</v>
      </c>
      <c r="F601" s="375"/>
    </row>
    <row r="602" spans="1:6" s="278" customFormat="1" x14ac:dyDescent="0.25">
      <c r="A602" s="376"/>
      <c r="B602" s="376"/>
      <c r="C602" s="403"/>
      <c r="D602" s="290" t="s">
        <v>153</v>
      </c>
      <c r="E602" s="111">
        <f>'Прил 11 Перечень мероприятий'!K459</f>
        <v>0</v>
      </c>
      <c r="F602" s="376"/>
    </row>
    <row r="603" spans="1:6" s="278" customFormat="1" ht="15" customHeight="1" x14ac:dyDescent="0.25">
      <c r="A603" s="374" t="s">
        <v>643</v>
      </c>
      <c r="B603" s="329" t="s">
        <v>132</v>
      </c>
      <c r="C603" s="401" t="s">
        <v>154</v>
      </c>
      <c r="D603" s="110" t="s">
        <v>91</v>
      </c>
      <c r="E603" s="99">
        <f>E604+E605+E606+E607+E608</f>
        <v>1560</v>
      </c>
      <c r="F603" s="329"/>
    </row>
    <row r="604" spans="1:6" s="278" customFormat="1" x14ac:dyDescent="0.25">
      <c r="A604" s="375"/>
      <c r="B604" s="329"/>
      <c r="C604" s="402"/>
      <c r="D604" s="290" t="s">
        <v>5</v>
      </c>
      <c r="E604" s="111">
        <f>'Прил 11 Перечень мероприятий'!G462</f>
        <v>0</v>
      </c>
      <c r="F604" s="329"/>
    </row>
    <row r="605" spans="1:6" s="278" customFormat="1" x14ac:dyDescent="0.25">
      <c r="A605" s="375"/>
      <c r="B605" s="329"/>
      <c r="C605" s="402"/>
      <c r="D605" s="290" t="s">
        <v>90</v>
      </c>
      <c r="E605" s="111">
        <f>'Прил 11 Перечень мероприятий'!H462</f>
        <v>1560</v>
      </c>
      <c r="F605" s="329"/>
    </row>
    <row r="606" spans="1:6" s="278" customFormat="1" x14ac:dyDescent="0.25">
      <c r="A606" s="375"/>
      <c r="B606" s="329"/>
      <c r="C606" s="402"/>
      <c r="D606" s="290" t="s">
        <v>135</v>
      </c>
      <c r="E606" s="111">
        <f>'Прил 11 Перечень мероприятий'!I462</f>
        <v>0</v>
      </c>
      <c r="F606" s="329"/>
    </row>
    <row r="607" spans="1:6" s="278" customFormat="1" x14ac:dyDescent="0.25">
      <c r="A607" s="375"/>
      <c r="B607" s="329"/>
      <c r="C607" s="402"/>
      <c r="D607" s="290" t="s">
        <v>152</v>
      </c>
      <c r="E607" s="111">
        <f>'Прил 11 Перечень мероприятий'!J462</f>
        <v>0</v>
      </c>
      <c r="F607" s="329"/>
    </row>
    <row r="608" spans="1:6" s="278" customFormat="1" x14ac:dyDescent="0.25">
      <c r="A608" s="375"/>
      <c r="B608" s="329"/>
      <c r="C608" s="402"/>
      <c r="D608" s="290" t="s">
        <v>153</v>
      </c>
      <c r="E608" s="111">
        <f>'Прил 11 Перечень мероприятий'!K462</f>
        <v>0</v>
      </c>
      <c r="F608" s="329"/>
    </row>
    <row r="609" spans="1:6" s="278" customFormat="1" x14ac:dyDescent="0.25">
      <c r="A609" s="374" t="s">
        <v>645</v>
      </c>
      <c r="B609" s="329" t="s">
        <v>132</v>
      </c>
      <c r="C609" s="401" t="s">
        <v>154</v>
      </c>
      <c r="D609" s="110" t="s">
        <v>91</v>
      </c>
      <c r="E609" s="99">
        <f>E610+E611+E612+E613+E614</f>
        <v>900</v>
      </c>
      <c r="F609" s="329"/>
    </row>
    <row r="610" spans="1:6" s="278" customFormat="1" x14ac:dyDescent="0.25">
      <c r="A610" s="375"/>
      <c r="B610" s="329"/>
      <c r="C610" s="402"/>
      <c r="D610" s="290" t="s">
        <v>5</v>
      </c>
      <c r="E610" s="111">
        <f>'Прил 11 Перечень мероприятий'!G466</f>
        <v>0</v>
      </c>
      <c r="F610" s="329"/>
    </row>
    <row r="611" spans="1:6" s="278" customFormat="1" x14ac:dyDescent="0.25">
      <c r="A611" s="375"/>
      <c r="B611" s="329"/>
      <c r="C611" s="402"/>
      <c r="D611" s="290" t="s">
        <v>90</v>
      </c>
      <c r="E611" s="111">
        <f>'Прил 11 Перечень мероприятий'!H466</f>
        <v>900</v>
      </c>
      <c r="F611" s="329"/>
    </row>
    <row r="612" spans="1:6" s="278" customFormat="1" x14ac:dyDescent="0.25">
      <c r="A612" s="375"/>
      <c r="B612" s="329"/>
      <c r="C612" s="402"/>
      <c r="D612" s="290" t="s">
        <v>135</v>
      </c>
      <c r="E612" s="111">
        <f>'Прил 11 Перечень мероприятий'!I466</f>
        <v>0</v>
      </c>
      <c r="F612" s="329"/>
    </row>
    <row r="613" spans="1:6" s="278" customFormat="1" x14ac:dyDescent="0.25">
      <c r="A613" s="375"/>
      <c r="B613" s="329"/>
      <c r="C613" s="402"/>
      <c r="D613" s="290" t="s">
        <v>152</v>
      </c>
      <c r="E613" s="111">
        <f>'Прил 11 Перечень мероприятий'!J466</f>
        <v>0</v>
      </c>
      <c r="F613" s="329"/>
    </row>
    <row r="614" spans="1:6" s="278" customFormat="1" x14ac:dyDescent="0.25">
      <c r="A614" s="375"/>
      <c r="B614" s="329"/>
      <c r="C614" s="402"/>
      <c r="D614" s="290" t="s">
        <v>153</v>
      </c>
      <c r="E614" s="111">
        <f>'Прил 11 Перечень мероприятий'!K466</f>
        <v>0</v>
      </c>
      <c r="F614" s="329"/>
    </row>
    <row r="615" spans="1:6" x14ac:dyDescent="0.25">
      <c r="A615" s="389" t="s">
        <v>209</v>
      </c>
      <c r="B615" s="390"/>
      <c r="C615" s="390"/>
      <c r="D615" s="390"/>
      <c r="E615" s="390"/>
      <c r="F615" s="391"/>
    </row>
    <row r="616" spans="1:6" ht="20.25" customHeight="1" x14ac:dyDescent="0.25">
      <c r="A616" s="384" t="s">
        <v>532</v>
      </c>
      <c r="B616" s="385"/>
      <c r="C616" s="385"/>
      <c r="D616" s="385"/>
      <c r="E616" s="385"/>
      <c r="F616" s="386"/>
    </row>
    <row r="617" spans="1:6" ht="15" customHeight="1" x14ac:dyDescent="0.25">
      <c r="A617" s="374" t="s">
        <v>345</v>
      </c>
      <c r="B617" s="374" t="s">
        <v>132</v>
      </c>
      <c r="C617" s="377" t="s">
        <v>541</v>
      </c>
      <c r="D617" s="110" t="s">
        <v>91</v>
      </c>
      <c r="E617" s="99">
        <f>E618+E619+E620+E621+E622</f>
        <v>1399.2</v>
      </c>
      <c r="F617" s="380"/>
    </row>
    <row r="618" spans="1:6" x14ac:dyDescent="0.25">
      <c r="A618" s="375"/>
      <c r="B618" s="375"/>
      <c r="C618" s="378"/>
      <c r="D618" s="251" t="s">
        <v>5</v>
      </c>
      <c r="E618" s="111">
        <f>'Прил 11 Перечень мероприятий'!G479</f>
        <v>1399.2</v>
      </c>
      <c r="F618" s="381"/>
    </row>
    <row r="619" spans="1:6" x14ac:dyDescent="0.25">
      <c r="A619" s="375"/>
      <c r="B619" s="375"/>
      <c r="C619" s="378"/>
      <c r="D619" s="251" t="s">
        <v>90</v>
      </c>
      <c r="E619" s="111">
        <f>'Прил 11 Перечень мероприятий'!H479</f>
        <v>0</v>
      </c>
      <c r="F619" s="381"/>
    </row>
    <row r="620" spans="1:6" x14ac:dyDescent="0.25">
      <c r="A620" s="375"/>
      <c r="B620" s="375"/>
      <c r="C620" s="378"/>
      <c r="D620" s="251" t="s">
        <v>135</v>
      </c>
      <c r="E620" s="111">
        <f>'Прил 11 Перечень мероприятий'!I479</f>
        <v>0</v>
      </c>
      <c r="F620" s="381"/>
    </row>
    <row r="621" spans="1:6" x14ac:dyDescent="0.25">
      <c r="A621" s="375"/>
      <c r="B621" s="375"/>
      <c r="C621" s="378"/>
      <c r="D621" s="251" t="s">
        <v>152</v>
      </c>
      <c r="E621" s="111">
        <f>'Прил 11 Перечень мероприятий'!J479</f>
        <v>0</v>
      </c>
      <c r="F621" s="381"/>
    </row>
    <row r="622" spans="1:6" ht="21" customHeight="1" x14ac:dyDescent="0.25">
      <c r="A622" s="376"/>
      <c r="B622" s="376"/>
      <c r="C622" s="379"/>
      <c r="D622" s="251" t="s">
        <v>153</v>
      </c>
      <c r="E622" s="111">
        <f>'Прил 11 Перечень мероприятий'!K479</f>
        <v>0</v>
      </c>
      <c r="F622" s="382"/>
    </row>
    <row r="623" spans="1:6" x14ac:dyDescent="0.25">
      <c r="A623" s="374" t="s">
        <v>373</v>
      </c>
      <c r="B623" s="374" t="s">
        <v>132</v>
      </c>
      <c r="C623" s="377" t="s">
        <v>541</v>
      </c>
      <c r="D623" s="110" t="s">
        <v>91</v>
      </c>
      <c r="E623" s="99">
        <f>E624+E625+E626+E627+E628</f>
        <v>1247.5999999999999</v>
      </c>
      <c r="F623" s="380"/>
    </row>
    <row r="624" spans="1:6" x14ac:dyDescent="0.25">
      <c r="A624" s="375"/>
      <c r="B624" s="375"/>
      <c r="C624" s="378"/>
      <c r="D624" s="251" t="s">
        <v>5</v>
      </c>
      <c r="E624" s="111">
        <f>'Прил 11 Перечень мероприятий'!G483</f>
        <v>1247.5999999999999</v>
      </c>
      <c r="F624" s="381"/>
    </row>
    <row r="625" spans="1:6" x14ac:dyDescent="0.25">
      <c r="A625" s="375"/>
      <c r="B625" s="375"/>
      <c r="C625" s="378"/>
      <c r="D625" s="251" t="s">
        <v>90</v>
      </c>
      <c r="E625" s="111">
        <f>'Прил 11 Перечень мероприятий'!H483</f>
        <v>0</v>
      </c>
      <c r="F625" s="381"/>
    </row>
    <row r="626" spans="1:6" x14ac:dyDescent="0.25">
      <c r="A626" s="375"/>
      <c r="B626" s="375"/>
      <c r="C626" s="378"/>
      <c r="D626" s="251" t="s">
        <v>135</v>
      </c>
      <c r="E626" s="111">
        <f>'Прил 11 Перечень мероприятий'!I483</f>
        <v>0</v>
      </c>
      <c r="F626" s="381"/>
    </row>
    <row r="627" spans="1:6" x14ac:dyDescent="0.25">
      <c r="A627" s="375"/>
      <c r="B627" s="375"/>
      <c r="C627" s="378"/>
      <c r="D627" s="251" t="s">
        <v>152</v>
      </c>
      <c r="E627" s="111">
        <f>'Прил 11 Перечень мероприятий'!J483</f>
        <v>0</v>
      </c>
      <c r="F627" s="381"/>
    </row>
    <row r="628" spans="1:6" ht="27.75" customHeight="1" x14ac:dyDescent="0.25">
      <c r="A628" s="376"/>
      <c r="B628" s="376"/>
      <c r="C628" s="379"/>
      <c r="D628" s="251" t="s">
        <v>153</v>
      </c>
      <c r="E628" s="111">
        <f>'Прил 11 Перечень мероприятий'!K483</f>
        <v>0</v>
      </c>
      <c r="F628" s="382"/>
    </row>
    <row r="629" spans="1:6" x14ac:dyDescent="0.25">
      <c r="A629" s="374" t="s">
        <v>374</v>
      </c>
      <c r="B629" s="329" t="s">
        <v>132</v>
      </c>
      <c r="C629" s="380" t="s">
        <v>542</v>
      </c>
      <c r="D629" s="110" t="s">
        <v>91</v>
      </c>
      <c r="E629" s="99">
        <f>E630+E631+E632+E633+E634</f>
        <v>1300</v>
      </c>
      <c r="F629" s="380"/>
    </row>
    <row r="630" spans="1:6" x14ac:dyDescent="0.25">
      <c r="A630" s="375"/>
      <c r="B630" s="329"/>
      <c r="C630" s="381"/>
      <c r="D630" s="251" t="s">
        <v>5</v>
      </c>
      <c r="E630" s="111">
        <f>'Прил 11 Перечень мероприятий'!G487</f>
        <v>1300</v>
      </c>
      <c r="F630" s="381"/>
    </row>
    <row r="631" spans="1:6" x14ac:dyDescent="0.25">
      <c r="A631" s="375"/>
      <c r="B631" s="329"/>
      <c r="C631" s="381"/>
      <c r="D631" s="251" t="s">
        <v>90</v>
      </c>
      <c r="E631" s="111">
        <f>'Прил 11 Перечень мероприятий'!H487</f>
        <v>0</v>
      </c>
      <c r="F631" s="381"/>
    </row>
    <row r="632" spans="1:6" x14ac:dyDescent="0.25">
      <c r="A632" s="375"/>
      <c r="B632" s="329"/>
      <c r="C632" s="381"/>
      <c r="D632" s="251" t="s">
        <v>135</v>
      </c>
      <c r="E632" s="111">
        <f>'Прил 11 Перечень мероприятий'!I487</f>
        <v>0</v>
      </c>
      <c r="F632" s="381"/>
    </row>
    <row r="633" spans="1:6" x14ac:dyDescent="0.25">
      <c r="A633" s="375"/>
      <c r="B633" s="329"/>
      <c r="C633" s="381"/>
      <c r="D633" s="251" t="s">
        <v>152</v>
      </c>
      <c r="E633" s="111">
        <f>E632</f>
        <v>0</v>
      </c>
      <c r="F633" s="381"/>
    </row>
    <row r="634" spans="1:6" x14ac:dyDescent="0.25">
      <c r="A634" s="376"/>
      <c r="B634" s="329"/>
      <c r="C634" s="382"/>
      <c r="D634" s="251" t="s">
        <v>153</v>
      </c>
      <c r="E634" s="111">
        <f>E633</f>
        <v>0</v>
      </c>
      <c r="F634" s="382"/>
    </row>
    <row r="635" spans="1:6" x14ac:dyDescent="0.25">
      <c r="A635" s="374" t="s">
        <v>375</v>
      </c>
      <c r="B635" s="329" t="s">
        <v>132</v>
      </c>
      <c r="C635" s="377" t="s">
        <v>543</v>
      </c>
      <c r="D635" s="110" t="s">
        <v>91</v>
      </c>
      <c r="E635" s="99">
        <f>E636+E637+E638+E639+E640</f>
        <v>396</v>
      </c>
      <c r="F635" s="380"/>
    </row>
    <row r="636" spans="1:6" x14ac:dyDescent="0.25">
      <c r="A636" s="375"/>
      <c r="B636" s="329"/>
      <c r="C636" s="378"/>
      <c r="D636" s="251" t="s">
        <v>5</v>
      </c>
      <c r="E636" s="111">
        <f>'Прил 11 Перечень мероприятий'!G491</f>
        <v>396</v>
      </c>
      <c r="F636" s="381"/>
    </row>
    <row r="637" spans="1:6" ht="15" customHeight="1" x14ac:dyDescent="0.25">
      <c r="A637" s="375"/>
      <c r="B637" s="329"/>
      <c r="C637" s="378"/>
      <c r="D637" s="251" t="s">
        <v>90</v>
      </c>
      <c r="E637" s="111">
        <f>'Прил 11 Перечень мероприятий'!H491</f>
        <v>0</v>
      </c>
      <c r="F637" s="381"/>
    </row>
    <row r="638" spans="1:6" x14ac:dyDescent="0.25">
      <c r="A638" s="375"/>
      <c r="B638" s="329"/>
      <c r="C638" s="378"/>
      <c r="D638" s="251" t="s">
        <v>135</v>
      </c>
      <c r="E638" s="111">
        <f>'Прил 11 Перечень мероприятий'!I491</f>
        <v>0</v>
      </c>
      <c r="F638" s="381"/>
    </row>
    <row r="639" spans="1:6" x14ac:dyDescent="0.25">
      <c r="A639" s="375"/>
      <c r="B639" s="329"/>
      <c r="C639" s="378"/>
      <c r="D639" s="251" t="s">
        <v>152</v>
      </c>
      <c r="E639" s="111">
        <f>'Прил 11 Перечень мероприятий'!J491</f>
        <v>0</v>
      </c>
      <c r="F639" s="381"/>
    </row>
    <row r="640" spans="1:6" ht="17.25" customHeight="1" x14ac:dyDescent="0.25">
      <c r="A640" s="376"/>
      <c r="B640" s="329"/>
      <c r="C640" s="379"/>
      <c r="D640" s="251" t="s">
        <v>153</v>
      </c>
      <c r="E640" s="111">
        <f>'Прил 11 Перечень мероприятий'!K491</f>
        <v>0</v>
      </c>
      <c r="F640" s="382"/>
    </row>
    <row r="641" spans="1:6" x14ac:dyDescent="0.25">
      <c r="A641" s="374" t="s">
        <v>376</v>
      </c>
      <c r="B641" s="329" t="s">
        <v>132</v>
      </c>
      <c r="C641" s="383" t="s">
        <v>542</v>
      </c>
      <c r="D641" s="110" t="s">
        <v>91</v>
      </c>
      <c r="E641" s="99">
        <f>E642+E643+E644+E645+E646</f>
        <v>6615.9</v>
      </c>
      <c r="F641" s="380"/>
    </row>
    <row r="642" spans="1:6" x14ac:dyDescent="0.25">
      <c r="A642" s="375"/>
      <c r="B642" s="329"/>
      <c r="C642" s="383"/>
      <c r="D642" s="251" t="s">
        <v>5</v>
      </c>
      <c r="E642" s="111">
        <f>'Прил 11 Перечень мероприятий'!G495</f>
        <v>1047.9000000000001</v>
      </c>
      <c r="F642" s="381"/>
    </row>
    <row r="643" spans="1:6" x14ac:dyDescent="0.25">
      <c r="A643" s="375"/>
      <c r="B643" s="329"/>
      <c r="C643" s="383"/>
      <c r="D643" s="251" t="s">
        <v>90</v>
      </c>
      <c r="E643" s="111">
        <v>0</v>
      </c>
      <c r="F643" s="381"/>
    </row>
    <row r="644" spans="1:6" x14ac:dyDescent="0.25">
      <c r="A644" s="375"/>
      <c r="B644" s="329"/>
      <c r="C644" s="383"/>
      <c r="D644" s="251" t="s">
        <v>135</v>
      </c>
      <c r="E644" s="111">
        <v>1856</v>
      </c>
      <c r="F644" s="381"/>
    </row>
    <row r="645" spans="1:6" x14ac:dyDescent="0.25">
      <c r="A645" s="375"/>
      <c r="B645" s="329"/>
      <c r="C645" s="383"/>
      <c r="D645" s="251" t="s">
        <v>152</v>
      </c>
      <c r="E645" s="111">
        <v>1856</v>
      </c>
      <c r="F645" s="381"/>
    </row>
    <row r="646" spans="1:6" x14ac:dyDescent="0.25">
      <c r="A646" s="376"/>
      <c r="B646" s="329"/>
      <c r="C646" s="383"/>
      <c r="D646" s="251" t="s">
        <v>153</v>
      </c>
      <c r="E646" s="111">
        <v>1856</v>
      </c>
      <c r="F646" s="382"/>
    </row>
    <row r="647" spans="1:6" ht="15" customHeight="1" x14ac:dyDescent="0.25">
      <c r="A647" s="374" t="s">
        <v>377</v>
      </c>
      <c r="B647" s="329" t="s">
        <v>132</v>
      </c>
      <c r="C647" s="383" t="s">
        <v>542</v>
      </c>
      <c r="D647" s="110" t="s">
        <v>91</v>
      </c>
      <c r="E647" s="111">
        <f>SUM(E648:E652)</f>
        <v>101.3</v>
      </c>
      <c r="F647" s="380"/>
    </row>
    <row r="648" spans="1:6" x14ac:dyDescent="0.25">
      <c r="A648" s="375"/>
      <c r="B648" s="329"/>
      <c r="C648" s="383"/>
      <c r="D648" s="251" t="s">
        <v>5</v>
      </c>
      <c r="E648" s="111">
        <f>'Прил 11 Перечень мероприятий'!G499</f>
        <v>101.3</v>
      </c>
      <c r="F648" s="381"/>
    </row>
    <row r="649" spans="1:6" x14ac:dyDescent="0.25">
      <c r="A649" s="375"/>
      <c r="B649" s="329"/>
      <c r="C649" s="383"/>
      <c r="D649" s="251" t="s">
        <v>90</v>
      </c>
      <c r="E649" s="111">
        <f>'Прил 11 Перечень мероприятий'!H499</f>
        <v>0</v>
      </c>
      <c r="F649" s="381"/>
    </row>
    <row r="650" spans="1:6" x14ac:dyDescent="0.25">
      <c r="A650" s="375"/>
      <c r="B650" s="329"/>
      <c r="C650" s="383"/>
      <c r="D650" s="251" t="s">
        <v>135</v>
      </c>
      <c r="E650" s="111">
        <f>'Прил 11 Перечень мероприятий'!I499</f>
        <v>0</v>
      </c>
      <c r="F650" s="381"/>
    </row>
    <row r="651" spans="1:6" x14ac:dyDescent="0.25">
      <c r="A651" s="375"/>
      <c r="B651" s="329"/>
      <c r="C651" s="383"/>
      <c r="D651" s="251" t="s">
        <v>152</v>
      </c>
      <c r="E651" s="111">
        <f>'Прил 11 Перечень мероприятий'!J499</f>
        <v>0</v>
      </c>
      <c r="F651" s="381"/>
    </row>
    <row r="652" spans="1:6" x14ac:dyDescent="0.25">
      <c r="A652" s="376"/>
      <c r="B652" s="329"/>
      <c r="C652" s="383"/>
      <c r="D652" s="251" t="s">
        <v>153</v>
      </c>
      <c r="E652" s="111">
        <f>'Прил 11 Перечень мероприятий'!K499</f>
        <v>0</v>
      </c>
      <c r="F652" s="382"/>
    </row>
    <row r="653" spans="1:6" ht="24.75" customHeight="1" x14ac:dyDescent="0.25">
      <c r="A653" s="384" t="s">
        <v>533</v>
      </c>
      <c r="B653" s="395"/>
      <c r="C653" s="395"/>
      <c r="D653" s="395"/>
      <c r="E653" s="395"/>
      <c r="F653" s="396"/>
    </row>
    <row r="654" spans="1:6" ht="15" customHeight="1" x14ac:dyDescent="0.25">
      <c r="A654" s="374" t="s">
        <v>378</v>
      </c>
      <c r="B654" s="329" t="s">
        <v>132</v>
      </c>
      <c r="C654" s="383" t="s">
        <v>544</v>
      </c>
      <c r="D654" s="110" t="s">
        <v>91</v>
      </c>
      <c r="E654" s="99">
        <f>SUM(E655:E659)</f>
        <v>0</v>
      </c>
      <c r="F654" s="380"/>
    </row>
    <row r="655" spans="1:6" x14ac:dyDescent="0.25">
      <c r="A655" s="375"/>
      <c r="B655" s="329"/>
      <c r="C655" s="383"/>
      <c r="D655" s="251" t="s">
        <v>5</v>
      </c>
      <c r="E655" s="111">
        <f>'Прил 11 Перечень мероприятий'!G507</f>
        <v>0</v>
      </c>
      <c r="F655" s="381"/>
    </row>
    <row r="656" spans="1:6" x14ac:dyDescent="0.25">
      <c r="A656" s="375"/>
      <c r="B656" s="329"/>
      <c r="C656" s="383"/>
      <c r="D656" s="251" t="s">
        <v>90</v>
      </c>
      <c r="E656" s="111">
        <f>'Прил 11 Перечень мероприятий'!H507</f>
        <v>0</v>
      </c>
      <c r="F656" s="381"/>
    </row>
    <row r="657" spans="1:6" x14ac:dyDescent="0.25">
      <c r="A657" s="375"/>
      <c r="B657" s="329"/>
      <c r="C657" s="383"/>
      <c r="D657" s="251" t="s">
        <v>135</v>
      </c>
      <c r="E657" s="111">
        <f>'Прил 11 Перечень мероприятий'!H507</f>
        <v>0</v>
      </c>
      <c r="F657" s="381"/>
    </row>
    <row r="658" spans="1:6" x14ac:dyDescent="0.25">
      <c r="A658" s="375"/>
      <c r="B658" s="329"/>
      <c r="C658" s="383"/>
      <c r="D658" s="251" t="s">
        <v>152</v>
      </c>
      <c r="E658" s="111">
        <f>E657</f>
        <v>0</v>
      </c>
      <c r="F658" s="381"/>
    </row>
    <row r="659" spans="1:6" x14ac:dyDescent="0.25">
      <c r="A659" s="376"/>
      <c r="B659" s="329"/>
      <c r="C659" s="383"/>
      <c r="D659" s="251" t="s">
        <v>153</v>
      </c>
      <c r="E659" s="111">
        <f>E657</f>
        <v>0</v>
      </c>
      <c r="F659" s="382"/>
    </row>
    <row r="660" spans="1:6" ht="15" customHeight="1" x14ac:dyDescent="0.25">
      <c r="A660" s="374" t="s">
        <v>379</v>
      </c>
      <c r="B660" s="329" t="s">
        <v>132</v>
      </c>
      <c r="C660" s="383" t="s">
        <v>542</v>
      </c>
      <c r="D660" s="110" t="s">
        <v>91</v>
      </c>
      <c r="E660" s="99">
        <f>SUM(E661:E665)</f>
        <v>300</v>
      </c>
      <c r="F660" s="380"/>
    </row>
    <row r="661" spans="1:6" x14ac:dyDescent="0.25">
      <c r="A661" s="375"/>
      <c r="B661" s="329"/>
      <c r="C661" s="383"/>
      <c r="D661" s="251" t="s">
        <v>5</v>
      </c>
      <c r="E661" s="111">
        <v>300</v>
      </c>
      <c r="F661" s="381"/>
    </row>
    <row r="662" spans="1:6" x14ac:dyDescent="0.25">
      <c r="A662" s="375"/>
      <c r="B662" s="329"/>
      <c r="C662" s="383"/>
      <c r="D662" s="251" t="s">
        <v>90</v>
      </c>
      <c r="E662" s="111">
        <v>0</v>
      </c>
      <c r="F662" s="381"/>
    </row>
    <row r="663" spans="1:6" x14ac:dyDescent="0.25">
      <c r="A663" s="375"/>
      <c r="B663" s="329"/>
      <c r="C663" s="383"/>
      <c r="D663" s="251" t="s">
        <v>135</v>
      </c>
      <c r="E663" s="111">
        <v>0</v>
      </c>
      <c r="F663" s="381"/>
    </row>
    <row r="664" spans="1:6" x14ac:dyDescent="0.25">
      <c r="A664" s="375"/>
      <c r="B664" s="329"/>
      <c r="C664" s="383"/>
      <c r="D664" s="251" t="s">
        <v>152</v>
      </c>
      <c r="E664" s="111">
        <v>0</v>
      </c>
      <c r="F664" s="381"/>
    </row>
    <row r="665" spans="1:6" x14ac:dyDescent="0.25">
      <c r="A665" s="376"/>
      <c r="B665" s="329"/>
      <c r="C665" s="383"/>
      <c r="D665" s="251" t="s">
        <v>153</v>
      </c>
      <c r="E665" s="111">
        <v>0</v>
      </c>
      <c r="F665" s="382"/>
    </row>
    <row r="666" spans="1:6" ht="15" customHeight="1" x14ac:dyDescent="0.25">
      <c r="A666" s="374" t="s">
        <v>380</v>
      </c>
      <c r="B666" s="329" t="s">
        <v>132</v>
      </c>
      <c r="C666" s="383" t="s">
        <v>542</v>
      </c>
      <c r="D666" s="110" t="s">
        <v>91</v>
      </c>
      <c r="E666" s="99">
        <f>SUM(E667:E671)</f>
        <v>599.4</v>
      </c>
      <c r="F666" s="380"/>
    </row>
    <row r="667" spans="1:6" x14ac:dyDescent="0.25">
      <c r="A667" s="375"/>
      <c r="B667" s="329"/>
      <c r="C667" s="383"/>
      <c r="D667" s="251" t="s">
        <v>5</v>
      </c>
      <c r="E667" s="111">
        <f>'Прил 11 Перечень мероприятий'!G515</f>
        <v>599.4</v>
      </c>
      <c r="F667" s="381"/>
    </row>
    <row r="668" spans="1:6" x14ac:dyDescent="0.25">
      <c r="A668" s="375"/>
      <c r="B668" s="329"/>
      <c r="C668" s="383"/>
      <c r="D668" s="251" t="s">
        <v>90</v>
      </c>
      <c r="E668" s="111">
        <f>'Прил 11 Перечень мероприятий'!H515</f>
        <v>0</v>
      </c>
      <c r="F668" s="381"/>
    </row>
    <row r="669" spans="1:6" x14ac:dyDescent="0.25">
      <c r="A669" s="375"/>
      <c r="B669" s="329"/>
      <c r="C669" s="383"/>
      <c r="D669" s="251" t="s">
        <v>135</v>
      </c>
      <c r="E669" s="111">
        <f>'Прил 11 Перечень мероприятий'!I515</f>
        <v>0</v>
      </c>
      <c r="F669" s="381"/>
    </row>
    <row r="670" spans="1:6" x14ac:dyDescent="0.25">
      <c r="A670" s="375"/>
      <c r="B670" s="329"/>
      <c r="C670" s="383"/>
      <c r="D670" s="251" t="s">
        <v>152</v>
      </c>
      <c r="E670" s="111">
        <f>'Прил 11 Перечень мероприятий'!J515</f>
        <v>0</v>
      </c>
      <c r="F670" s="381"/>
    </row>
    <row r="671" spans="1:6" x14ac:dyDescent="0.25">
      <c r="A671" s="376"/>
      <c r="B671" s="329"/>
      <c r="C671" s="383"/>
      <c r="D671" s="251" t="s">
        <v>153</v>
      </c>
      <c r="E671" s="111">
        <f>'Прил 11 Перечень мероприятий'!K515</f>
        <v>0</v>
      </c>
      <c r="F671" s="382"/>
    </row>
    <row r="672" spans="1:6" x14ac:dyDescent="0.25">
      <c r="A672" s="374" t="s">
        <v>381</v>
      </c>
      <c r="B672" s="329" t="s">
        <v>132</v>
      </c>
      <c r="C672" s="383" t="s">
        <v>542</v>
      </c>
      <c r="D672" s="110" t="s">
        <v>91</v>
      </c>
      <c r="E672" s="99">
        <f>SUM(E673:E677)</f>
        <v>432</v>
      </c>
      <c r="F672" s="380"/>
    </row>
    <row r="673" spans="1:6" x14ac:dyDescent="0.25">
      <c r="A673" s="375"/>
      <c r="B673" s="329"/>
      <c r="C673" s="383"/>
      <c r="D673" s="251" t="s">
        <v>5</v>
      </c>
      <c r="E673" s="111">
        <f>'Прил 11 Перечень мероприятий'!G519</f>
        <v>432</v>
      </c>
      <c r="F673" s="381"/>
    </row>
    <row r="674" spans="1:6" x14ac:dyDescent="0.25">
      <c r="A674" s="375"/>
      <c r="B674" s="329"/>
      <c r="C674" s="383"/>
      <c r="D674" s="251" t="s">
        <v>90</v>
      </c>
      <c r="E674" s="111">
        <f>'Прил 11 Перечень мероприятий'!H519</f>
        <v>0</v>
      </c>
      <c r="F674" s="381"/>
    </row>
    <row r="675" spans="1:6" x14ac:dyDescent="0.25">
      <c r="A675" s="375"/>
      <c r="B675" s="329"/>
      <c r="C675" s="383"/>
      <c r="D675" s="251" t="s">
        <v>135</v>
      </c>
      <c r="E675" s="111">
        <f>'Прил 11 Перечень мероприятий'!I519</f>
        <v>0</v>
      </c>
      <c r="F675" s="381"/>
    </row>
    <row r="676" spans="1:6" x14ac:dyDescent="0.25">
      <c r="A676" s="375"/>
      <c r="B676" s="329"/>
      <c r="C676" s="383"/>
      <c r="D676" s="251" t="s">
        <v>152</v>
      </c>
      <c r="E676" s="111">
        <f>'Прил 11 Перечень мероприятий'!J519</f>
        <v>0</v>
      </c>
      <c r="F676" s="381"/>
    </row>
    <row r="677" spans="1:6" x14ac:dyDescent="0.25">
      <c r="A677" s="376"/>
      <c r="B677" s="329"/>
      <c r="C677" s="383"/>
      <c r="D677" s="251" t="s">
        <v>153</v>
      </c>
      <c r="E677" s="111">
        <f>'Прил 11 Перечень мероприятий'!K519</f>
        <v>0</v>
      </c>
      <c r="F677" s="382"/>
    </row>
    <row r="678" spans="1:6" ht="15" customHeight="1" x14ac:dyDescent="0.25">
      <c r="A678" s="374" t="s">
        <v>382</v>
      </c>
      <c r="B678" s="329" t="s">
        <v>132</v>
      </c>
      <c r="C678" s="383" t="s">
        <v>542</v>
      </c>
      <c r="D678" s="110" t="s">
        <v>91</v>
      </c>
      <c r="E678" s="99">
        <f>SUM(E679:E683)</f>
        <v>950</v>
      </c>
      <c r="F678" s="380"/>
    </row>
    <row r="679" spans="1:6" x14ac:dyDescent="0.25">
      <c r="A679" s="375"/>
      <c r="B679" s="329"/>
      <c r="C679" s="383"/>
      <c r="D679" s="251" t="s">
        <v>5</v>
      </c>
      <c r="E679" s="111">
        <f>'Прил 11 Перечень мероприятий'!G523</f>
        <v>950</v>
      </c>
      <c r="F679" s="381"/>
    </row>
    <row r="680" spans="1:6" x14ac:dyDescent="0.25">
      <c r="A680" s="375"/>
      <c r="B680" s="329"/>
      <c r="C680" s="383"/>
      <c r="D680" s="251" t="s">
        <v>90</v>
      </c>
      <c r="E680" s="111">
        <f>'Прил 11 Перечень мероприятий'!H523</f>
        <v>0</v>
      </c>
      <c r="F680" s="381"/>
    </row>
    <row r="681" spans="1:6" x14ac:dyDescent="0.25">
      <c r="A681" s="375"/>
      <c r="B681" s="329"/>
      <c r="C681" s="383"/>
      <c r="D681" s="251" t="s">
        <v>135</v>
      </c>
      <c r="E681" s="111">
        <f>'Прил 11 Перечень мероприятий'!I523</f>
        <v>0</v>
      </c>
      <c r="F681" s="381"/>
    </row>
    <row r="682" spans="1:6" x14ac:dyDescent="0.25">
      <c r="A682" s="375"/>
      <c r="B682" s="329"/>
      <c r="C682" s="383"/>
      <c r="D682" s="251" t="s">
        <v>152</v>
      </c>
      <c r="E682" s="111">
        <f>'Прил 11 Перечень мероприятий'!J523</f>
        <v>0</v>
      </c>
      <c r="F682" s="381"/>
    </row>
    <row r="683" spans="1:6" x14ac:dyDescent="0.25">
      <c r="A683" s="376"/>
      <c r="B683" s="329"/>
      <c r="C683" s="383"/>
      <c r="D683" s="251" t="s">
        <v>153</v>
      </c>
      <c r="E683" s="111">
        <f>'Прил 11 Перечень мероприятий'!K523</f>
        <v>0</v>
      </c>
      <c r="F683" s="382"/>
    </row>
    <row r="684" spans="1:6" ht="21" customHeight="1" x14ac:dyDescent="0.25">
      <c r="A684" s="384" t="s">
        <v>535</v>
      </c>
      <c r="B684" s="395"/>
      <c r="C684" s="395"/>
      <c r="D684" s="395"/>
      <c r="E684" s="395"/>
      <c r="F684" s="396"/>
    </row>
    <row r="685" spans="1:6" ht="15" customHeight="1" x14ac:dyDescent="0.25">
      <c r="A685" s="374" t="s">
        <v>383</v>
      </c>
      <c r="B685" s="329" t="s">
        <v>132</v>
      </c>
      <c r="C685" s="383" t="s">
        <v>542</v>
      </c>
      <c r="D685" s="110" t="s">
        <v>91</v>
      </c>
      <c r="E685" s="99">
        <f>SUM(E686:E690)</f>
        <v>380</v>
      </c>
      <c r="F685" s="380"/>
    </row>
    <row r="686" spans="1:6" x14ac:dyDescent="0.25">
      <c r="A686" s="375"/>
      <c r="B686" s="329"/>
      <c r="C686" s="383"/>
      <c r="D686" s="251" t="s">
        <v>5</v>
      </c>
      <c r="E686" s="111">
        <f>'Прил 11 Перечень мероприятий'!G531</f>
        <v>380</v>
      </c>
      <c r="F686" s="381"/>
    </row>
    <row r="687" spans="1:6" x14ac:dyDescent="0.25">
      <c r="A687" s="375"/>
      <c r="B687" s="329"/>
      <c r="C687" s="383"/>
      <c r="D687" s="251" t="s">
        <v>90</v>
      </c>
      <c r="E687" s="111">
        <f>'Прил 11 Перечень мероприятий'!H531</f>
        <v>0</v>
      </c>
      <c r="F687" s="381"/>
    </row>
    <row r="688" spans="1:6" x14ac:dyDescent="0.25">
      <c r="A688" s="375"/>
      <c r="B688" s="329"/>
      <c r="C688" s="383"/>
      <c r="D688" s="251" t="s">
        <v>135</v>
      </c>
      <c r="E688" s="111">
        <f>'Прил 11 Перечень мероприятий'!I531</f>
        <v>0</v>
      </c>
      <c r="F688" s="381"/>
    </row>
    <row r="689" spans="1:6" x14ac:dyDescent="0.25">
      <c r="A689" s="375"/>
      <c r="B689" s="329"/>
      <c r="C689" s="383"/>
      <c r="D689" s="251" t="s">
        <v>152</v>
      </c>
      <c r="E689" s="111">
        <f>'Прил 11 Перечень мероприятий'!J531</f>
        <v>0</v>
      </c>
      <c r="F689" s="381"/>
    </row>
    <row r="690" spans="1:6" x14ac:dyDescent="0.25">
      <c r="A690" s="376"/>
      <c r="B690" s="329"/>
      <c r="C690" s="383"/>
      <c r="D690" s="251" t="s">
        <v>153</v>
      </c>
      <c r="E690" s="111">
        <f>'Прил 11 Перечень мероприятий'!K531</f>
        <v>0</v>
      </c>
      <c r="F690" s="382"/>
    </row>
    <row r="691" spans="1:6" ht="15" customHeight="1" x14ac:dyDescent="0.25">
      <c r="A691" s="389" t="s">
        <v>208</v>
      </c>
      <c r="B691" s="390"/>
      <c r="C691" s="390"/>
      <c r="D691" s="390"/>
      <c r="E691" s="390"/>
      <c r="F691" s="391"/>
    </row>
    <row r="692" spans="1:6" ht="20.25" customHeight="1" x14ac:dyDescent="0.25">
      <c r="A692" s="384" t="s">
        <v>151</v>
      </c>
      <c r="B692" s="385"/>
      <c r="C692" s="385"/>
      <c r="D692" s="385"/>
      <c r="E692" s="385"/>
      <c r="F692" s="386"/>
    </row>
    <row r="693" spans="1:6" ht="15" customHeight="1" x14ac:dyDescent="0.25">
      <c r="A693" s="374" t="s">
        <v>345</v>
      </c>
      <c r="B693" s="374" t="s">
        <v>132</v>
      </c>
      <c r="C693" s="377" t="s">
        <v>602</v>
      </c>
      <c r="D693" s="110" t="s">
        <v>91</v>
      </c>
      <c r="E693" s="99">
        <f>E694+E695+E696+E697+E698</f>
        <v>30111.72</v>
      </c>
      <c r="F693" s="380"/>
    </row>
    <row r="694" spans="1:6" x14ac:dyDescent="0.25">
      <c r="A694" s="375"/>
      <c r="B694" s="375"/>
      <c r="C694" s="378"/>
      <c r="D694" s="283" t="s">
        <v>5</v>
      </c>
      <c r="E694" s="111">
        <f>'Прил 11 Перечень мероприятий'!G544</f>
        <v>5873.22</v>
      </c>
      <c r="F694" s="381"/>
    </row>
    <row r="695" spans="1:6" x14ac:dyDescent="0.25">
      <c r="A695" s="375"/>
      <c r="B695" s="375"/>
      <c r="C695" s="378"/>
      <c r="D695" s="283" t="s">
        <v>90</v>
      </c>
      <c r="E695" s="111">
        <f>'Прил 11 Перечень мероприятий'!H544</f>
        <v>6917.7</v>
      </c>
      <c r="F695" s="381"/>
    </row>
    <row r="696" spans="1:6" x14ac:dyDescent="0.25">
      <c r="A696" s="375"/>
      <c r="B696" s="375"/>
      <c r="C696" s="378"/>
      <c r="D696" s="283" t="s">
        <v>135</v>
      </c>
      <c r="E696" s="111">
        <f>'Прил 11 Перечень мероприятий'!I544</f>
        <v>5773.6</v>
      </c>
      <c r="F696" s="381"/>
    </row>
    <row r="697" spans="1:6" x14ac:dyDescent="0.25">
      <c r="A697" s="375"/>
      <c r="B697" s="375"/>
      <c r="C697" s="378"/>
      <c r="D697" s="283" t="s">
        <v>152</v>
      </c>
      <c r="E697" s="111">
        <f>'Прил 11 Перечень мероприятий'!J544</f>
        <v>5773.6</v>
      </c>
      <c r="F697" s="381"/>
    </row>
    <row r="698" spans="1:6" x14ac:dyDescent="0.25">
      <c r="A698" s="376"/>
      <c r="B698" s="376"/>
      <c r="C698" s="379"/>
      <c r="D698" s="283" t="s">
        <v>153</v>
      </c>
      <c r="E698" s="111">
        <f>'Прил 11 Перечень мероприятий'!K544</f>
        <v>5773.6</v>
      </c>
      <c r="F698" s="382"/>
    </row>
    <row r="699" spans="1:6" x14ac:dyDescent="0.25">
      <c r="A699" s="374" t="s">
        <v>346</v>
      </c>
      <c r="B699" s="374" t="s">
        <v>132</v>
      </c>
      <c r="C699" s="377" t="s">
        <v>321</v>
      </c>
      <c r="D699" s="110" t="s">
        <v>91</v>
      </c>
      <c r="E699" s="99">
        <f>E700+E701+E702+E703+E704</f>
        <v>74.7</v>
      </c>
      <c r="F699" s="380"/>
    </row>
    <row r="700" spans="1:6" x14ac:dyDescent="0.25">
      <c r="A700" s="375"/>
      <c r="B700" s="375"/>
      <c r="C700" s="378"/>
      <c r="D700" s="283" t="s">
        <v>5</v>
      </c>
      <c r="E700" s="111">
        <f>'Прил 11 Перечень мероприятий'!G548</f>
        <v>15</v>
      </c>
      <c r="F700" s="381"/>
    </row>
    <row r="701" spans="1:6" x14ac:dyDescent="0.25">
      <c r="A701" s="375"/>
      <c r="B701" s="375"/>
      <c r="C701" s="378"/>
      <c r="D701" s="283" t="s">
        <v>90</v>
      </c>
      <c r="E701" s="111">
        <f>'Прил 11 Перечень мероприятий'!H548</f>
        <v>14.7</v>
      </c>
      <c r="F701" s="381"/>
    </row>
    <row r="702" spans="1:6" x14ac:dyDescent="0.25">
      <c r="A702" s="375"/>
      <c r="B702" s="375"/>
      <c r="C702" s="378"/>
      <c r="D702" s="283" t="s">
        <v>135</v>
      </c>
      <c r="E702" s="111">
        <f>'Прил 11 Перечень мероприятий'!I548</f>
        <v>15</v>
      </c>
      <c r="F702" s="381"/>
    </row>
    <row r="703" spans="1:6" x14ac:dyDescent="0.25">
      <c r="A703" s="375"/>
      <c r="B703" s="375"/>
      <c r="C703" s="378"/>
      <c r="D703" s="283" t="s">
        <v>152</v>
      </c>
      <c r="E703" s="111">
        <f>'Прил 11 Перечень мероприятий'!J548</f>
        <v>15</v>
      </c>
      <c r="F703" s="381"/>
    </row>
    <row r="704" spans="1:6" x14ac:dyDescent="0.25">
      <c r="A704" s="376"/>
      <c r="B704" s="376"/>
      <c r="C704" s="379"/>
      <c r="D704" s="283" t="s">
        <v>153</v>
      </c>
      <c r="E704" s="111">
        <f>'Прил 11 Перечень мероприятий'!K548</f>
        <v>15</v>
      </c>
      <c r="F704" s="382"/>
    </row>
    <row r="705" spans="1:6" ht="24.75" customHeight="1" x14ac:dyDescent="0.25">
      <c r="A705" s="374" t="s">
        <v>347</v>
      </c>
      <c r="B705" s="374" t="s">
        <v>132</v>
      </c>
      <c r="C705" s="377" t="s">
        <v>619</v>
      </c>
      <c r="D705" s="110" t="s">
        <v>91</v>
      </c>
      <c r="E705" s="99">
        <f>E706+E707+E708+E709+E710</f>
        <v>1571.5</v>
      </c>
      <c r="F705" s="380"/>
    </row>
    <row r="706" spans="1:6" ht="28.5" customHeight="1" x14ac:dyDescent="0.25">
      <c r="A706" s="375"/>
      <c r="B706" s="375"/>
      <c r="C706" s="378"/>
      <c r="D706" s="283" t="s">
        <v>5</v>
      </c>
      <c r="E706" s="111">
        <f>'Прил 11 Перечень мероприятий'!G552</f>
        <v>357.5</v>
      </c>
      <c r="F706" s="381"/>
    </row>
    <row r="707" spans="1:6" ht="36" customHeight="1" x14ac:dyDescent="0.25">
      <c r="A707" s="375"/>
      <c r="B707" s="375"/>
      <c r="C707" s="378"/>
      <c r="D707" s="283" t="s">
        <v>90</v>
      </c>
      <c r="E707" s="111">
        <f>'Прил 11 Перечень мероприятий'!H552</f>
        <v>58</v>
      </c>
      <c r="F707" s="381"/>
    </row>
    <row r="708" spans="1:6" ht="30" customHeight="1" x14ac:dyDescent="0.25">
      <c r="A708" s="375"/>
      <c r="B708" s="375"/>
      <c r="C708" s="378"/>
      <c r="D708" s="283" t="s">
        <v>135</v>
      </c>
      <c r="E708" s="111">
        <f>'Прил 11 Перечень мероприятий'!I552</f>
        <v>310</v>
      </c>
      <c r="F708" s="381"/>
    </row>
    <row r="709" spans="1:6" ht="35.25" customHeight="1" x14ac:dyDescent="0.25">
      <c r="A709" s="375"/>
      <c r="B709" s="375"/>
      <c r="C709" s="378"/>
      <c r="D709" s="283" t="s">
        <v>152</v>
      </c>
      <c r="E709" s="111">
        <f>'Прил 11 Перечень мероприятий'!J552</f>
        <v>423</v>
      </c>
      <c r="F709" s="381"/>
    </row>
    <row r="710" spans="1:6" ht="30.75" customHeight="1" x14ac:dyDescent="0.25">
      <c r="A710" s="376"/>
      <c r="B710" s="376"/>
      <c r="C710" s="379"/>
      <c r="D710" s="283" t="s">
        <v>153</v>
      </c>
      <c r="E710" s="111">
        <f>'Прил 11 Перечень мероприятий'!K552</f>
        <v>423</v>
      </c>
      <c r="F710" s="382"/>
    </row>
    <row r="711" spans="1:6" ht="28.5" customHeight="1" x14ac:dyDescent="0.25">
      <c r="A711" s="374" t="s">
        <v>406</v>
      </c>
      <c r="B711" s="374" t="s">
        <v>132</v>
      </c>
      <c r="C711" s="377" t="s">
        <v>618</v>
      </c>
      <c r="D711" s="110" t="s">
        <v>91</v>
      </c>
      <c r="E711" s="99">
        <f>E712+E713+E714+E715+E716</f>
        <v>875.5</v>
      </c>
      <c r="F711" s="380"/>
    </row>
    <row r="712" spans="1:6" ht="29.25" customHeight="1" x14ac:dyDescent="0.25">
      <c r="A712" s="375"/>
      <c r="B712" s="375"/>
      <c r="C712" s="378"/>
      <c r="D712" s="283" t="s">
        <v>5</v>
      </c>
      <c r="E712" s="111">
        <f>'Прил 11 Перечень мероприятий'!G556</f>
        <v>205</v>
      </c>
      <c r="F712" s="381"/>
    </row>
    <row r="713" spans="1:6" ht="24" customHeight="1" x14ac:dyDescent="0.25">
      <c r="A713" s="375"/>
      <c r="B713" s="375"/>
      <c r="C713" s="378"/>
      <c r="D713" s="283" t="s">
        <v>90</v>
      </c>
      <c r="E713" s="111">
        <f>'Прил 11 Перечень мероприятий'!H556</f>
        <v>51.199999999999989</v>
      </c>
      <c r="F713" s="381"/>
    </row>
    <row r="714" spans="1:6" ht="24.75" customHeight="1" x14ac:dyDescent="0.25">
      <c r="A714" s="375"/>
      <c r="B714" s="375"/>
      <c r="C714" s="378"/>
      <c r="D714" s="283" t="s">
        <v>135</v>
      </c>
      <c r="E714" s="111">
        <f>'Прил 11 Перечень мероприятий'!I556</f>
        <v>195</v>
      </c>
      <c r="F714" s="381"/>
    </row>
    <row r="715" spans="1:6" ht="24.75" customHeight="1" x14ac:dyDescent="0.25">
      <c r="A715" s="375"/>
      <c r="B715" s="375"/>
      <c r="C715" s="378"/>
      <c r="D715" s="283" t="s">
        <v>152</v>
      </c>
      <c r="E715" s="111">
        <f>'Прил 11 Перечень мероприятий'!J556</f>
        <v>229.3</v>
      </c>
      <c r="F715" s="381"/>
    </row>
    <row r="716" spans="1:6" ht="27.75" customHeight="1" x14ac:dyDescent="0.25">
      <c r="A716" s="376"/>
      <c r="B716" s="376"/>
      <c r="C716" s="379"/>
      <c r="D716" s="283" t="s">
        <v>153</v>
      </c>
      <c r="E716" s="111">
        <f>'Прил 11 Перечень мероприятий'!K556</f>
        <v>195</v>
      </c>
      <c r="F716" s="382"/>
    </row>
    <row r="717" spans="1:6" ht="15" customHeight="1" x14ac:dyDescent="0.25">
      <c r="A717" s="374" t="s">
        <v>348</v>
      </c>
      <c r="B717" s="374" t="s">
        <v>132</v>
      </c>
      <c r="C717" s="377" t="s">
        <v>603</v>
      </c>
      <c r="D717" s="110" t="s">
        <v>91</v>
      </c>
      <c r="E717" s="99">
        <f>E718+E719+E720+E721+E722</f>
        <v>234.6</v>
      </c>
      <c r="F717" s="380"/>
    </row>
    <row r="718" spans="1:6" x14ac:dyDescent="0.25">
      <c r="A718" s="375"/>
      <c r="B718" s="375"/>
      <c r="C718" s="378"/>
      <c r="D718" s="283" t="s">
        <v>5</v>
      </c>
      <c r="E718" s="111">
        <f>'Прил 11 Перечень мероприятий'!G560</f>
        <v>48.6</v>
      </c>
      <c r="F718" s="381"/>
    </row>
    <row r="719" spans="1:6" x14ac:dyDescent="0.25">
      <c r="A719" s="375"/>
      <c r="B719" s="375"/>
      <c r="C719" s="378"/>
      <c r="D719" s="283" t="s">
        <v>90</v>
      </c>
      <c r="E719" s="111">
        <f>'Прил 11 Перечень мероприятий'!H560</f>
        <v>10</v>
      </c>
      <c r="F719" s="381"/>
    </row>
    <row r="720" spans="1:6" x14ac:dyDescent="0.25">
      <c r="A720" s="375"/>
      <c r="B720" s="375"/>
      <c r="C720" s="378"/>
      <c r="D720" s="283" t="s">
        <v>135</v>
      </c>
      <c r="E720" s="111">
        <f>'Прил 11 Перечень мероприятий'!I560</f>
        <v>50</v>
      </c>
      <c r="F720" s="381"/>
    </row>
    <row r="721" spans="1:6" x14ac:dyDescent="0.25">
      <c r="A721" s="375"/>
      <c r="B721" s="375"/>
      <c r="C721" s="378"/>
      <c r="D721" s="283" t="s">
        <v>152</v>
      </c>
      <c r="E721" s="111">
        <f>'Прил 11 Перечень мероприятий'!J560</f>
        <v>63</v>
      </c>
      <c r="F721" s="381"/>
    </row>
    <row r="722" spans="1:6" x14ac:dyDescent="0.25">
      <c r="A722" s="376"/>
      <c r="B722" s="376"/>
      <c r="C722" s="379"/>
      <c r="D722" s="283" t="s">
        <v>153</v>
      </c>
      <c r="E722" s="111">
        <f>'Прил 11 Перечень мероприятий'!K560</f>
        <v>63</v>
      </c>
      <c r="F722" s="382"/>
    </row>
    <row r="723" spans="1:6" x14ac:dyDescent="0.25">
      <c r="A723" s="374" t="s">
        <v>349</v>
      </c>
      <c r="B723" s="374" t="s">
        <v>132</v>
      </c>
      <c r="C723" s="377"/>
      <c r="D723" s="110" t="s">
        <v>91</v>
      </c>
      <c r="E723" s="99">
        <f>E724+E725+E726+E727+E728</f>
        <v>278.5</v>
      </c>
      <c r="F723" s="380"/>
    </row>
    <row r="724" spans="1:6" x14ac:dyDescent="0.25">
      <c r="A724" s="375"/>
      <c r="B724" s="375"/>
      <c r="C724" s="378"/>
      <c r="D724" s="283" t="s">
        <v>5</v>
      </c>
      <c r="E724" s="111">
        <f>'Прил 11 Перечень мероприятий'!G564</f>
        <v>67.5</v>
      </c>
      <c r="F724" s="381"/>
    </row>
    <row r="725" spans="1:6" x14ac:dyDescent="0.25">
      <c r="A725" s="375"/>
      <c r="B725" s="375"/>
      <c r="C725" s="378"/>
      <c r="D725" s="283" t="s">
        <v>90</v>
      </c>
      <c r="E725" s="111">
        <f>'Прил 11 Перечень мероприятий'!H564</f>
        <v>0</v>
      </c>
      <c r="F725" s="381"/>
    </row>
    <row r="726" spans="1:6" x14ac:dyDescent="0.25">
      <c r="A726" s="375"/>
      <c r="B726" s="375"/>
      <c r="C726" s="378"/>
      <c r="D726" s="283" t="s">
        <v>135</v>
      </c>
      <c r="E726" s="111">
        <f>'Прил 11 Перечень мероприятий'!I564</f>
        <v>50</v>
      </c>
      <c r="F726" s="381"/>
    </row>
    <row r="727" spans="1:6" x14ac:dyDescent="0.25">
      <c r="A727" s="375"/>
      <c r="B727" s="375"/>
      <c r="C727" s="378"/>
      <c r="D727" s="283" t="s">
        <v>152</v>
      </c>
      <c r="E727" s="111">
        <f>'Прил 11 Перечень мероприятий'!J564</f>
        <v>111</v>
      </c>
      <c r="F727" s="381"/>
    </row>
    <row r="728" spans="1:6" x14ac:dyDescent="0.25">
      <c r="A728" s="376"/>
      <c r="B728" s="376"/>
      <c r="C728" s="379"/>
      <c r="D728" s="283" t="s">
        <v>153</v>
      </c>
      <c r="E728" s="111">
        <f>'Прил 11 Перечень мероприятий'!K564</f>
        <v>50</v>
      </c>
      <c r="F728" s="382"/>
    </row>
    <row r="729" spans="1:6" x14ac:dyDescent="0.25">
      <c r="A729" s="374" t="s">
        <v>365</v>
      </c>
      <c r="B729" s="374" t="s">
        <v>132</v>
      </c>
      <c r="C729" s="401"/>
      <c r="D729" s="110" t="s">
        <v>91</v>
      </c>
      <c r="E729" s="99">
        <f>E730+E731+E732+E733+E734</f>
        <v>200</v>
      </c>
      <c r="F729" s="374"/>
    </row>
    <row r="730" spans="1:6" x14ac:dyDescent="0.25">
      <c r="A730" s="375"/>
      <c r="B730" s="375"/>
      <c r="C730" s="402"/>
      <c r="D730" s="283" t="s">
        <v>5</v>
      </c>
      <c r="E730" s="111">
        <f>'Прил 11 Перечень мероприятий'!G568</f>
        <v>100</v>
      </c>
      <c r="F730" s="375"/>
    </row>
    <row r="731" spans="1:6" x14ac:dyDescent="0.25">
      <c r="A731" s="375"/>
      <c r="B731" s="375"/>
      <c r="C731" s="402"/>
      <c r="D731" s="283" t="s">
        <v>90</v>
      </c>
      <c r="E731" s="111">
        <f>'Прил 11 Перечень мероприятий'!H568</f>
        <v>0</v>
      </c>
      <c r="F731" s="375"/>
    </row>
    <row r="732" spans="1:6" x14ac:dyDescent="0.25">
      <c r="A732" s="375"/>
      <c r="B732" s="375"/>
      <c r="C732" s="402"/>
      <c r="D732" s="283" t="s">
        <v>135</v>
      </c>
      <c r="E732" s="111">
        <f>'Прил 11 Перечень мероприятий'!I568</f>
        <v>0</v>
      </c>
      <c r="F732" s="375"/>
    </row>
    <row r="733" spans="1:6" x14ac:dyDescent="0.25">
      <c r="A733" s="375"/>
      <c r="B733" s="375"/>
      <c r="C733" s="402"/>
      <c r="D733" s="283" t="s">
        <v>152</v>
      </c>
      <c r="E733" s="111">
        <f>'Прил 11 Перечень мероприятий'!J568</f>
        <v>0</v>
      </c>
      <c r="F733" s="375"/>
    </row>
    <row r="734" spans="1:6" x14ac:dyDescent="0.25">
      <c r="A734" s="376"/>
      <c r="B734" s="376"/>
      <c r="C734" s="403"/>
      <c r="D734" s="283" t="s">
        <v>153</v>
      </c>
      <c r="E734" s="111">
        <f>'Прил 11 Перечень мероприятий'!K568</f>
        <v>100</v>
      </c>
      <c r="F734" s="376"/>
    </row>
    <row r="735" spans="1:6" x14ac:dyDescent="0.25">
      <c r="A735" s="374" t="s">
        <v>366</v>
      </c>
      <c r="B735" s="374" t="s">
        <v>132</v>
      </c>
      <c r="C735" s="377"/>
      <c r="D735" s="110" t="s">
        <v>91</v>
      </c>
      <c r="E735" s="99">
        <f>E736+E737+E738+E739+E740</f>
        <v>2000</v>
      </c>
      <c r="F735" s="380"/>
    </row>
    <row r="736" spans="1:6" x14ac:dyDescent="0.25">
      <c r="A736" s="375"/>
      <c r="B736" s="375"/>
      <c r="C736" s="378"/>
      <c r="D736" s="283" t="s">
        <v>5</v>
      </c>
      <c r="E736" s="111">
        <f>'Прил 11 Перечень мероприятий'!G572</f>
        <v>600</v>
      </c>
      <c r="F736" s="381"/>
    </row>
    <row r="737" spans="1:6" x14ac:dyDescent="0.25">
      <c r="A737" s="375"/>
      <c r="B737" s="375"/>
      <c r="C737" s="378"/>
      <c r="D737" s="283" t="s">
        <v>90</v>
      </c>
      <c r="E737" s="111">
        <f>'Прил 11 Перечень мероприятий'!H572</f>
        <v>0</v>
      </c>
      <c r="F737" s="381"/>
    </row>
    <row r="738" spans="1:6" x14ac:dyDescent="0.25">
      <c r="A738" s="375"/>
      <c r="B738" s="375"/>
      <c r="C738" s="378"/>
      <c r="D738" s="283" t="s">
        <v>135</v>
      </c>
      <c r="E738" s="111">
        <f>'Прил 11 Перечень мероприятий'!I572</f>
        <v>0</v>
      </c>
      <c r="F738" s="381"/>
    </row>
    <row r="739" spans="1:6" x14ac:dyDescent="0.25">
      <c r="A739" s="375"/>
      <c r="B739" s="375"/>
      <c r="C739" s="378"/>
      <c r="D739" s="283" t="s">
        <v>152</v>
      </c>
      <c r="E739" s="111">
        <f>'Прил 11 Перечень мероприятий'!J572</f>
        <v>700</v>
      </c>
      <c r="F739" s="381"/>
    </row>
    <row r="740" spans="1:6" x14ac:dyDescent="0.25">
      <c r="A740" s="376"/>
      <c r="B740" s="376"/>
      <c r="C740" s="379"/>
      <c r="D740" s="283" t="s">
        <v>153</v>
      </c>
      <c r="E740" s="111">
        <f>'Прил 11 Перечень мероприятий'!K572</f>
        <v>700</v>
      </c>
      <c r="F740" s="382"/>
    </row>
    <row r="741" spans="1:6" x14ac:dyDescent="0.25">
      <c r="A741" s="374" t="s">
        <v>396</v>
      </c>
      <c r="B741" s="374" t="s">
        <v>132</v>
      </c>
      <c r="C741" s="377"/>
      <c r="D741" s="110" t="s">
        <v>91</v>
      </c>
      <c r="E741" s="99">
        <f>E742+E743+E744+E745+E746</f>
        <v>12.6</v>
      </c>
      <c r="F741" s="380"/>
    </row>
    <row r="742" spans="1:6" x14ac:dyDescent="0.25">
      <c r="A742" s="375"/>
      <c r="B742" s="375"/>
      <c r="C742" s="378"/>
      <c r="D742" s="283" t="s">
        <v>5</v>
      </c>
      <c r="E742" s="111">
        <f>'Прил 11 Перечень мероприятий'!G576</f>
        <v>12.6</v>
      </c>
      <c r="F742" s="381"/>
    </row>
    <row r="743" spans="1:6" x14ac:dyDescent="0.25">
      <c r="A743" s="375"/>
      <c r="B743" s="375"/>
      <c r="C743" s="378"/>
      <c r="D743" s="283" t="s">
        <v>90</v>
      </c>
      <c r="E743" s="111">
        <f>'Прил 11 Перечень мероприятий'!H576</f>
        <v>0</v>
      </c>
      <c r="F743" s="381"/>
    </row>
    <row r="744" spans="1:6" x14ac:dyDescent="0.25">
      <c r="A744" s="375"/>
      <c r="B744" s="375"/>
      <c r="C744" s="378"/>
      <c r="D744" s="283" t="s">
        <v>135</v>
      </c>
      <c r="E744" s="111">
        <f>'Прил 11 Перечень мероприятий'!I576</f>
        <v>0</v>
      </c>
      <c r="F744" s="381"/>
    </row>
    <row r="745" spans="1:6" x14ac:dyDescent="0.25">
      <c r="A745" s="375"/>
      <c r="B745" s="375"/>
      <c r="C745" s="378"/>
      <c r="D745" s="283" t="s">
        <v>152</v>
      </c>
      <c r="E745" s="111">
        <f>'Прил 11 Перечень мероприятий'!J576</f>
        <v>0</v>
      </c>
      <c r="F745" s="381"/>
    </row>
    <row r="746" spans="1:6" ht="15" customHeight="1" x14ac:dyDescent="0.25">
      <c r="A746" s="376"/>
      <c r="B746" s="376"/>
      <c r="C746" s="379"/>
      <c r="D746" s="283" t="s">
        <v>153</v>
      </c>
      <c r="E746" s="111">
        <f>'Прил 11 Перечень мероприятий'!K576</f>
        <v>0</v>
      </c>
      <c r="F746" s="382"/>
    </row>
    <row r="747" spans="1:6" ht="15" customHeight="1" x14ac:dyDescent="0.25">
      <c r="A747" s="374" t="s">
        <v>545</v>
      </c>
      <c r="B747" s="374" t="s">
        <v>132</v>
      </c>
      <c r="C747" s="377" t="s">
        <v>546</v>
      </c>
      <c r="D747" s="110" t="s">
        <v>91</v>
      </c>
      <c r="E747" s="99">
        <f>E748+E749+E750+E751+E752</f>
        <v>0.8</v>
      </c>
      <c r="F747" s="380"/>
    </row>
    <row r="748" spans="1:6" x14ac:dyDescent="0.25">
      <c r="A748" s="375"/>
      <c r="B748" s="375"/>
      <c r="C748" s="378"/>
      <c r="D748" s="283" t="s">
        <v>5</v>
      </c>
      <c r="E748" s="111">
        <f>'Прил 11 Перечень мероприятий'!G580</f>
        <v>0</v>
      </c>
      <c r="F748" s="381"/>
    </row>
    <row r="749" spans="1:6" x14ac:dyDescent="0.25">
      <c r="A749" s="375"/>
      <c r="B749" s="375"/>
      <c r="C749" s="378"/>
      <c r="D749" s="283" t="s">
        <v>90</v>
      </c>
      <c r="E749" s="111">
        <f>'Прил 11 Перечень мероприятий'!H580</f>
        <v>0.8</v>
      </c>
      <c r="F749" s="381"/>
    </row>
    <row r="750" spans="1:6" x14ac:dyDescent="0.25">
      <c r="A750" s="375"/>
      <c r="B750" s="375"/>
      <c r="C750" s="378"/>
      <c r="D750" s="283" t="s">
        <v>135</v>
      </c>
      <c r="E750" s="111">
        <f>'Прил 11 Перечень мероприятий'!I580</f>
        <v>0</v>
      </c>
      <c r="F750" s="381"/>
    </row>
    <row r="751" spans="1:6" ht="15" customHeight="1" x14ac:dyDescent="0.25">
      <c r="A751" s="375"/>
      <c r="B751" s="375"/>
      <c r="C751" s="378"/>
      <c r="D751" s="283" t="s">
        <v>152</v>
      </c>
      <c r="E751" s="111">
        <f>'Прил 11 Перечень мероприятий'!J580</f>
        <v>0</v>
      </c>
      <c r="F751" s="381"/>
    </row>
    <row r="752" spans="1:6" x14ac:dyDescent="0.25">
      <c r="A752" s="376"/>
      <c r="B752" s="376"/>
      <c r="C752" s="379"/>
      <c r="D752" s="283" t="s">
        <v>153</v>
      </c>
      <c r="E752" s="111">
        <f>'Прил 11 Перечень мероприятий'!K580</f>
        <v>0</v>
      </c>
      <c r="F752" s="382"/>
    </row>
    <row r="753" spans="1:6" x14ac:dyDescent="0.25">
      <c r="A753" s="100"/>
      <c r="B753" s="100"/>
      <c r="C753" s="100"/>
      <c r="D753" s="100"/>
      <c r="E753" s="100"/>
      <c r="F753" s="100"/>
    </row>
    <row r="754" spans="1:6" x14ac:dyDescent="0.25">
      <c r="A754" s="100"/>
      <c r="B754" s="100"/>
      <c r="C754" s="100"/>
      <c r="D754" s="100"/>
      <c r="E754" s="100"/>
      <c r="F754" s="100"/>
    </row>
    <row r="755" spans="1:6" x14ac:dyDescent="0.25">
      <c r="A755" s="100"/>
      <c r="B755" s="100"/>
      <c r="C755" s="100"/>
      <c r="D755" s="100"/>
      <c r="E755" s="100"/>
      <c r="F755" s="100"/>
    </row>
    <row r="756" spans="1:6" x14ac:dyDescent="0.25">
      <c r="A756" s="100"/>
      <c r="B756" s="100"/>
      <c r="C756" s="100"/>
      <c r="D756" s="100"/>
      <c r="E756" s="100"/>
      <c r="F756" s="100"/>
    </row>
    <row r="757" spans="1:6" ht="15" customHeight="1" x14ac:dyDescent="0.25">
      <c r="A757" s="100"/>
      <c r="B757" s="100"/>
      <c r="C757" s="100"/>
      <c r="D757" s="100"/>
      <c r="E757" s="100"/>
      <c r="F757" s="100"/>
    </row>
    <row r="758" spans="1:6" x14ac:dyDescent="0.25">
      <c r="A758" s="100"/>
      <c r="B758" s="100"/>
      <c r="C758" s="100"/>
      <c r="D758" s="100"/>
      <c r="E758" s="100"/>
      <c r="F758" s="100"/>
    </row>
    <row r="759" spans="1:6" x14ac:dyDescent="0.25">
      <c r="A759" s="100"/>
      <c r="B759" s="100"/>
      <c r="C759" s="100"/>
      <c r="D759" s="100"/>
      <c r="E759" s="100"/>
      <c r="F759" s="100"/>
    </row>
    <row r="760" spans="1:6" x14ac:dyDescent="0.25">
      <c r="A760" s="100"/>
      <c r="B760" s="100"/>
      <c r="C760" s="100"/>
      <c r="D760" s="100"/>
      <c r="E760" s="100"/>
      <c r="F760" s="100"/>
    </row>
    <row r="761" spans="1:6" x14ac:dyDescent="0.25">
      <c r="A761" s="100"/>
      <c r="B761" s="100"/>
      <c r="C761" s="100"/>
      <c r="D761" s="100"/>
      <c r="E761" s="100"/>
      <c r="F761" s="100"/>
    </row>
    <row r="762" spans="1:6" x14ac:dyDescent="0.25">
      <c r="A762" s="100"/>
      <c r="B762" s="100"/>
      <c r="C762" s="100"/>
      <c r="D762" s="100"/>
      <c r="E762" s="100"/>
      <c r="F762" s="100"/>
    </row>
    <row r="763" spans="1:6" ht="15" customHeight="1" x14ac:dyDescent="0.25">
      <c r="A763" s="100"/>
      <c r="B763" s="100"/>
      <c r="C763" s="100"/>
      <c r="D763" s="100"/>
      <c r="E763" s="100"/>
      <c r="F763" s="100"/>
    </row>
    <row r="764" spans="1:6" x14ac:dyDescent="0.25">
      <c r="A764" s="100"/>
      <c r="B764" s="100"/>
      <c r="C764" s="100"/>
      <c r="D764" s="100"/>
      <c r="E764" s="100"/>
      <c r="F764" s="100"/>
    </row>
    <row r="765" spans="1:6" x14ac:dyDescent="0.25">
      <c r="A765" s="100"/>
      <c r="B765" s="100"/>
      <c r="C765" s="100"/>
      <c r="D765" s="100"/>
      <c r="E765" s="100"/>
      <c r="F765" s="100"/>
    </row>
    <row r="766" spans="1:6" x14ac:dyDescent="0.25">
      <c r="A766" s="100"/>
      <c r="B766" s="100"/>
      <c r="C766" s="100"/>
      <c r="D766" s="100"/>
      <c r="E766" s="100"/>
      <c r="F766" s="100"/>
    </row>
    <row r="767" spans="1:6" x14ac:dyDescent="0.25">
      <c r="A767" s="100"/>
      <c r="B767" s="100"/>
      <c r="C767" s="100"/>
      <c r="D767" s="100"/>
      <c r="E767" s="100"/>
      <c r="F767" s="100"/>
    </row>
    <row r="768" spans="1:6" x14ac:dyDescent="0.25">
      <c r="A768" s="100"/>
      <c r="B768" s="100"/>
      <c r="C768" s="100"/>
      <c r="D768" s="100"/>
      <c r="E768" s="100"/>
      <c r="F768" s="100"/>
    </row>
    <row r="769" spans="1:6" ht="15" customHeight="1" x14ac:dyDescent="0.25">
      <c r="A769" s="100"/>
      <c r="B769" s="100"/>
      <c r="C769" s="100"/>
      <c r="D769" s="100"/>
      <c r="E769" s="100"/>
      <c r="F769" s="100"/>
    </row>
    <row r="770" spans="1:6" x14ac:dyDescent="0.25">
      <c r="A770" s="100"/>
      <c r="B770" s="100"/>
      <c r="C770" s="100"/>
      <c r="D770" s="100"/>
      <c r="E770" s="100"/>
      <c r="F770" s="100"/>
    </row>
    <row r="771" spans="1:6" x14ac:dyDescent="0.25">
      <c r="A771" s="100"/>
      <c r="B771" s="100"/>
      <c r="C771" s="100"/>
      <c r="D771" s="100"/>
      <c r="E771" s="100"/>
      <c r="F771" s="100"/>
    </row>
    <row r="772" spans="1:6" x14ac:dyDescent="0.25">
      <c r="A772" s="100"/>
      <c r="B772" s="100"/>
      <c r="C772" s="100"/>
      <c r="D772" s="100"/>
      <c r="E772" s="100"/>
      <c r="F772" s="100"/>
    </row>
    <row r="773" spans="1:6" x14ac:dyDescent="0.25">
      <c r="A773" s="100"/>
      <c r="B773" s="100"/>
      <c r="C773" s="100"/>
      <c r="D773" s="100"/>
      <c r="E773" s="100"/>
      <c r="F773" s="100"/>
    </row>
    <row r="774" spans="1:6" x14ac:dyDescent="0.25">
      <c r="A774" s="100"/>
      <c r="B774" s="100"/>
      <c r="C774" s="100"/>
      <c r="D774" s="100"/>
      <c r="E774" s="100"/>
      <c r="F774" s="100"/>
    </row>
    <row r="775" spans="1:6" ht="15" customHeight="1" x14ac:dyDescent="0.25">
      <c r="A775" s="100"/>
      <c r="B775" s="100"/>
      <c r="C775" s="100"/>
      <c r="D775" s="100"/>
      <c r="E775" s="100"/>
      <c r="F775" s="100"/>
    </row>
    <row r="776" spans="1:6" x14ac:dyDescent="0.25">
      <c r="A776" s="100"/>
      <c r="B776" s="100"/>
      <c r="C776" s="100"/>
      <c r="D776" s="100"/>
      <c r="E776" s="100"/>
      <c r="F776" s="100"/>
    </row>
    <row r="777" spans="1:6" x14ac:dyDescent="0.25">
      <c r="A777" s="100"/>
      <c r="B777" s="100"/>
      <c r="C777" s="100"/>
      <c r="D777" s="100"/>
      <c r="E777" s="100"/>
      <c r="F777" s="100"/>
    </row>
    <row r="778" spans="1:6" x14ac:dyDescent="0.25">
      <c r="A778" s="100"/>
      <c r="B778" s="100"/>
      <c r="C778" s="100"/>
      <c r="D778" s="100"/>
      <c r="E778" s="100"/>
      <c r="F778" s="100"/>
    </row>
    <row r="779" spans="1:6" x14ac:dyDescent="0.25">
      <c r="A779" s="100"/>
      <c r="B779" s="100"/>
      <c r="C779" s="100"/>
      <c r="D779" s="100"/>
      <c r="E779" s="100"/>
      <c r="F779" s="100"/>
    </row>
    <row r="780" spans="1:6" x14ac:dyDescent="0.25">
      <c r="A780" s="100"/>
      <c r="B780" s="100"/>
      <c r="C780" s="100"/>
      <c r="D780" s="100"/>
      <c r="E780" s="100"/>
      <c r="F780" s="100"/>
    </row>
    <row r="781" spans="1:6" ht="15" customHeight="1" x14ac:dyDescent="0.25">
      <c r="A781" s="100"/>
      <c r="B781" s="100"/>
      <c r="C781" s="100"/>
      <c r="D781" s="100"/>
      <c r="E781" s="100"/>
      <c r="F781" s="100"/>
    </row>
    <row r="782" spans="1:6" x14ac:dyDescent="0.25">
      <c r="A782" s="100"/>
      <c r="B782" s="100"/>
      <c r="C782" s="100"/>
      <c r="D782" s="100"/>
      <c r="E782" s="100"/>
      <c r="F782" s="100"/>
    </row>
    <row r="783" spans="1:6" x14ac:dyDescent="0.25">
      <c r="A783" s="100"/>
      <c r="B783" s="100"/>
      <c r="C783" s="100"/>
      <c r="D783" s="100"/>
      <c r="E783" s="100"/>
      <c r="F783" s="100"/>
    </row>
    <row r="784" spans="1:6" x14ac:dyDescent="0.25">
      <c r="A784" s="100"/>
      <c r="B784" s="100"/>
      <c r="C784" s="100"/>
      <c r="D784" s="100"/>
      <c r="E784" s="100"/>
      <c r="F784" s="100"/>
    </row>
    <row r="785" spans="1:6" x14ac:dyDescent="0.25">
      <c r="A785" s="100"/>
      <c r="B785" s="100"/>
      <c r="C785" s="100"/>
      <c r="D785" s="100"/>
      <c r="E785" s="100"/>
      <c r="F785" s="100"/>
    </row>
    <row r="786" spans="1:6" x14ac:dyDescent="0.25">
      <c r="A786" s="100"/>
      <c r="B786" s="100"/>
      <c r="C786" s="100"/>
      <c r="D786" s="100"/>
      <c r="E786" s="100"/>
      <c r="F786" s="100"/>
    </row>
    <row r="787" spans="1:6" ht="15" customHeight="1" x14ac:dyDescent="0.25">
      <c r="A787" s="100"/>
      <c r="B787" s="100"/>
      <c r="C787" s="100"/>
      <c r="D787" s="100"/>
      <c r="E787" s="100"/>
      <c r="F787" s="100"/>
    </row>
    <row r="788" spans="1:6" x14ac:dyDescent="0.25">
      <c r="A788" s="100"/>
      <c r="B788" s="100"/>
      <c r="C788" s="100"/>
      <c r="D788" s="100"/>
      <c r="E788" s="100"/>
      <c r="F788" s="100"/>
    </row>
    <row r="789" spans="1:6" x14ac:dyDescent="0.25">
      <c r="A789" s="100"/>
      <c r="B789" s="100"/>
      <c r="C789" s="100"/>
      <c r="D789" s="100"/>
      <c r="E789" s="100"/>
      <c r="F789" s="100"/>
    </row>
    <row r="790" spans="1:6" x14ac:dyDescent="0.25">
      <c r="A790" s="100"/>
      <c r="B790" s="100"/>
      <c r="C790" s="100"/>
      <c r="D790" s="100"/>
      <c r="E790" s="100"/>
      <c r="F790" s="100"/>
    </row>
    <row r="791" spans="1:6" x14ac:dyDescent="0.25">
      <c r="A791" s="100"/>
      <c r="B791" s="100"/>
      <c r="C791" s="100"/>
      <c r="D791" s="100"/>
      <c r="E791" s="100"/>
      <c r="F791" s="100"/>
    </row>
    <row r="792" spans="1:6" x14ac:dyDescent="0.25">
      <c r="A792" s="100"/>
      <c r="B792" s="100"/>
      <c r="C792" s="100"/>
      <c r="D792" s="100"/>
      <c r="E792" s="100"/>
      <c r="F792" s="100"/>
    </row>
    <row r="793" spans="1:6" ht="15" customHeight="1" x14ac:dyDescent="0.25">
      <c r="A793" s="100"/>
      <c r="B793" s="100"/>
      <c r="C793" s="100"/>
      <c r="D793" s="100"/>
      <c r="E793" s="100"/>
      <c r="F793" s="100"/>
    </row>
    <row r="794" spans="1:6" x14ac:dyDescent="0.25">
      <c r="A794" s="100"/>
      <c r="B794" s="100"/>
      <c r="C794" s="100"/>
      <c r="D794" s="100"/>
      <c r="E794" s="100"/>
      <c r="F794" s="100"/>
    </row>
    <row r="795" spans="1:6" x14ac:dyDescent="0.25">
      <c r="A795" s="100"/>
      <c r="B795" s="100"/>
      <c r="C795" s="100"/>
      <c r="D795" s="100"/>
      <c r="E795" s="100"/>
      <c r="F795" s="100"/>
    </row>
    <row r="796" spans="1:6" x14ac:dyDescent="0.25">
      <c r="A796" s="100"/>
      <c r="B796" s="100"/>
      <c r="C796" s="100"/>
      <c r="D796" s="100"/>
      <c r="E796" s="100"/>
      <c r="F796" s="100"/>
    </row>
    <row r="797" spans="1:6" x14ac:dyDescent="0.25">
      <c r="A797" s="100"/>
      <c r="B797" s="100"/>
      <c r="C797" s="100"/>
      <c r="D797" s="100"/>
      <c r="E797" s="100"/>
      <c r="F797" s="100"/>
    </row>
    <row r="798" spans="1:6" x14ac:dyDescent="0.25">
      <c r="A798" s="100"/>
      <c r="B798" s="100"/>
      <c r="C798" s="100"/>
      <c r="D798" s="100"/>
      <c r="E798" s="100"/>
      <c r="F798" s="100"/>
    </row>
    <row r="799" spans="1:6" ht="15" customHeight="1" x14ac:dyDescent="0.25">
      <c r="A799" s="100"/>
      <c r="B799" s="100"/>
      <c r="C799" s="100"/>
      <c r="D799" s="100"/>
      <c r="E799" s="100"/>
      <c r="F799" s="100"/>
    </row>
    <row r="800" spans="1:6" x14ac:dyDescent="0.25">
      <c r="A800" s="100"/>
      <c r="B800" s="100"/>
      <c r="C800" s="100"/>
      <c r="D800" s="100"/>
      <c r="E800" s="100"/>
      <c r="F800" s="100"/>
    </row>
    <row r="801" spans="1:6" x14ac:dyDescent="0.25">
      <c r="A801" s="100"/>
      <c r="B801" s="100"/>
      <c r="C801" s="100"/>
      <c r="D801" s="100"/>
      <c r="E801" s="100"/>
      <c r="F801" s="100"/>
    </row>
    <row r="802" spans="1:6" x14ac:dyDescent="0.25">
      <c r="A802" s="100"/>
      <c r="B802" s="100"/>
      <c r="C802" s="100"/>
      <c r="D802" s="100"/>
      <c r="E802" s="100"/>
      <c r="F802" s="100"/>
    </row>
    <row r="803" spans="1:6" x14ac:dyDescent="0.25">
      <c r="A803" s="100"/>
      <c r="B803" s="100"/>
      <c r="C803" s="100"/>
      <c r="D803" s="100"/>
      <c r="E803" s="100"/>
      <c r="F803" s="100"/>
    </row>
    <row r="804" spans="1:6" x14ac:dyDescent="0.25">
      <c r="A804" s="100"/>
      <c r="B804" s="100"/>
      <c r="C804" s="100"/>
      <c r="D804" s="100"/>
      <c r="E804" s="100"/>
      <c r="F804" s="100"/>
    </row>
    <row r="805" spans="1:6" x14ac:dyDescent="0.25">
      <c r="A805" s="100"/>
      <c r="B805" s="100"/>
      <c r="C805" s="100"/>
      <c r="D805" s="100"/>
      <c r="E805" s="100"/>
      <c r="F805" s="100"/>
    </row>
    <row r="806" spans="1:6" x14ac:dyDescent="0.25">
      <c r="A806" s="100"/>
      <c r="B806" s="100"/>
      <c r="C806" s="100"/>
      <c r="D806" s="100"/>
      <c r="E806" s="100"/>
      <c r="F806" s="100"/>
    </row>
    <row r="807" spans="1:6" x14ac:dyDescent="0.25">
      <c r="A807" s="100"/>
      <c r="B807" s="100"/>
      <c r="C807" s="100"/>
      <c r="D807" s="100"/>
      <c r="E807" s="100"/>
      <c r="F807" s="100"/>
    </row>
    <row r="808" spans="1:6" x14ac:dyDescent="0.25">
      <c r="A808" s="100"/>
      <c r="B808" s="100"/>
      <c r="C808" s="100"/>
      <c r="D808" s="100"/>
      <c r="E808" s="100"/>
      <c r="F808" s="100"/>
    </row>
    <row r="809" spans="1:6" x14ac:dyDescent="0.25">
      <c r="A809" s="100"/>
      <c r="B809" s="100"/>
      <c r="C809" s="100"/>
      <c r="D809" s="100"/>
      <c r="E809" s="100"/>
      <c r="F809" s="100"/>
    </row>
    <row r="810" spans="1:6" x14ac:dyDescent="0.25">
      <c r="A810" s="100"/>
      <c r="B810" s="100"/>
      <c r="C810" s="100"/>
      <c r="D810" s="100"/>
      <c r="E810" s="100"/>
      <c r="F810" s="100"/>
    </row>
    <row r="811" spans="1:6" x14ac:dyDescent="0.25">
      <c r="A811" s="100"/>
      <c r="B811" s="100"/>
      <c r="C811" s="100"/>
      <c r="D811" s="100"/>
      <c r="E811" s="100"/>
      <c r="F811" s="100"/>
    </row>
    <row r="812" spans="1:6" x14ac:dyDescent="0.25">
      <c r="A812" s="100"/>
      <c r="B812" s="100"/>
      <c r="C812" s="100"/>
      <c r="D812" s="100"/>
      <c r="E812" s="100"/>
      <c r="F812" s="100"/>
    </row>
    <row r="813" spans="1:6" x14ac:dyDescent="0.25">
      <c r="A813" s="100"/>
      <c r="B813" s="100"/>
      <c r="C813" s="100"/>
      <c r="D813" s="100"/>
      <c r="E813" s="100"/>
      <c r="F813" s="100"/>
    </row>
    <row r="814" spans="1:6" x14ac:dyDescent="0.25">
      <c r="A814" s="100"/>
      <c r="B814" s="100"/>
      <c r="C814" s="100"/>
      <c r="D814" s="100"/>
      <c r="E814" s="100"/>
      <c r="F814" s="100"/>
    </row>
    <row r="815" spans="1:6" x14ac:dyDescent="0.25">
      <c r="A815" s="100"/>
      <c r="B815" s="100"/>
      <c r="C815" s="100"/>
      <c r="D815" s="100"/>
      <c r="E815" s="100"/>
      <c r="F815" s="100"/>
    </row>
    <row r="816" spans="1:6" x14ac:dyDescent="0.25">
      <c r="A816" s="100"/>
      <c r="B816" s="100"/>
      <c r="C816" s="100"/>
      <c r="D816" s="100"/>
      <c r="E816" s="100"/>
      <c r="F816" s="100"/>
    </row>
    <row r="817" spans="1:6" x14ac:dyDescent="0.25">
      <c r="A817" s="100"/>
      <c r="B817" s="100"/>
      <c r="C817" s="100"/>
      <c r="D817" s="100"/>
      <c r="E817" s="100"/>
      <c r="F817" s="100"/>
    </row>
    <row r="818" spans="1:6" x14ac:dyDescent="0.25">
      <c r="A818" s="100"/>
      <c r="B818" s="100"/>
      <c r="C818" s="100"/>
      <c r="D818" s="100"/>
      <c r="E818" s="100"/>
      <c r="F818" s="100"/>
    </row>
    <row r="819" spans="1:6" x14ac:dyDescent="0.25">
      <c r="A819" s="100"/>
      <c r="B819" s="100"/>
      <c r="C819" s="100"/>
      <c r="D819" s="100"/>
      <c r="E819" s="100"/>
      <c r="F819" s="100"/>
    </row>
    <row r="820" spans="1:6" x14ac:dyDescent="0.25">
      <c r="A820" s="100"/>
      <c r="B820" s="100"/>
      <c r="C820" s="100"/>
      <c r="D820" s="100"/>
      <c r="E820" s="100"/>
      <c r="F820" s="100"/>
    </row>
    <row r="821" spans="1:6" x14ac:dyDescent="0.25">
      <c r="A821" s="100"/>
      <c r="B821" s="100"/>
      <c r="C821" s="100"/>
      <c r="D821" s="100"/>
      <c r="E821" s="100"/>
      <c r="F821" s="100"/>
    </row>
    <row r="822" spans="1:6" x14ac:dyDescent="0.25">
      <c r="A822" s="100"/>
      <c r="B822" s="100"/>
      <c r="C822" s="100"/>
      <c r="D822" s="100"/>
      <c r="E822" s="100"/>
      <c r="F822" s="100"/>
    </row>
    <row r="823" spans="1:6" x14ac:dyDescent="0.25">
      <c r="A823" s="100"/>
      <c r="B823" s="100"/>
      <c r="C823" s="100"/>
      <c r="D823" s="100"/>
      <c r="E823" s="100"/>
      <c r="F823" s="100"/>
    </row>
    <row r="824" spans="1:6" x14ac:dyDescent="0.25">
      <c r="A824" s="100"/>
      <c r="B824" s="100"/>
      <c r="C824" s="100"/>
      <c r="D824" s="100"/>
      <c r="E824" s="100"/>
      <c r="F824" s="100"/>
    </row>
    <row r="825" spans="1:6" x14ac:dyDescent="0.25">
      <c r="A825" s="100"/>
      <c r="B825" s="100"/>
      <c r="C825" s="100"/>
      <c r="D825" s="100"/>
      <c r="E825" s="100"/>
      <c r="F825" s="100"/>
    </row>
    <row r="826" spans="1:6" x14ac:dyDescent="0.25">
      <c r="A826" s="100"/>
      <c r="B826" s="100"/>
      <c r="C826" s="100"/>
      <c r="D826" s="100"/>
      <c r="E826" s="100"/>
      <c r="F826" s="100"/>
    </row>
    <row r="827" spans="1:6" x14ac:dyDescent="0.25">
      <c r="A827" s="100"/>
      <c r="B827" s="100"/>
      <c r="C827" s="100"/>
      <c r="D827" s="100"/>
      <c r="E827" s="100"/>
      <c r="F827" s="100"/>
    </row>
    <row r="828" spans="1:6" x14ac:dyDescent="0.25">
      <c r="A828" s="100"/>
      <c r="B828" s="100"/>
      <c r="C828" s="100"/>
      <c r="D828" s="100"/>
      <c r="E828" s="100"/>
      <c r="F828" s="100"/>
    </row>
    <row r="829" spans="1:6" x14ac:dyDescent="0.25">
      <c r="A829" s="100"/>
      <c r="B829" s="100"/>
      <c r="C829" s="100"/>
      <c r="D829" s="100"/>
      <c r="E829" s="100"/>
      <c r="F829" s="100"/>
    </row>
    <row r="830" spans="1:6" x14ac:dyDescent="0.25">
      <c r="A830" s="100"/>
      <c r="B830" s="100"/>
      <c r="C830" s="100"/>
      <c r="D830" s="100"/>
      <c r="E830" s="100"/>
      <c r="F830" s="100"/>
    </row>
    <row r="831" spans="1:6" x14ac:dyDescent="0.25">
      <c r="A831" s="100"/>
      <c r="B831" s="100"/>
      <c r="C831" s="100"/>
      <c r="D831" s="100"/>
      <c r="E831" s="100"/>
      <c r="F831" s="100"/>
    </row>
    <row r="832" spans="1:6" x14ac:dyDescent="0.25">
      <c r="A832" s="100"/>
      <c r="B832" s="100"/>
      <c r="C832" s="100"/>
      <c r="D832" s="100"/>
      <c r="E832" s="100"/>
      <c r="F832" s="100"/>
    </row>
    <row r="833" spans="1:6" x14ac:dyDescent="0.25">
      <c r="A833" s="100"/>
      <c r="B833" s="100"/>
      <c r="C833" s="100"/>
      <c r="D833" s="100"/>
      <c r="E833" s="100"/>
      <c r="F833" s="100"/>
    </row>
    <row r="834" spans="1:6" x14ac:dyDescent="0.25">
      <c r="A834" s="100"/>
      <c r="B834" s="100"/>
      <c r="C834" s="100"/>
      <c r="D834" s="100"/>
      <c r="E834" s="100"/>
      <c r="F834" s="100"/>
    </row>
    <row r="835" spans="1:6" x14ac:dyDescent="0.25">
      <c r="A835" s="100"/>
      <c r="B835" s="100"/>
      <c r="C835" s="100"/>
      <c r="D835" s="100"/>
      <c r="E835" s="100"/>
      <c r="F835" s="100"/>
    </row>
    <row r="836" spans="1:6" x14ac:dyDescent="0.25">
      <c r="A836" s="100"/>
      <c r="B836" s="100"/>
      <c r="C836" s="100"/>
      <c r="D836" s="100"/>
      <c r="E836" s="100"/>
      <c r="F836" s="100"/>
    </row>
    <row r="837" spans="1:6" x14ac:dyDescent="0.25">
      <c r="A837" s="100"/>
      <c r="B837" s="100"/>
      <c r="C837" s="100"/>
      <c r="D837" s="100"/>
      <c r="E837" s="100"/>
      <c r="F837" s="100"/>
    </row>
    <row r="838" spans="1:6" x14ac:dyDescent="0.25">
      <c r="A838" s="100"/>
      <c r="B838" s="100"/>
      <c r="C838" s="100"/>
      <c r="D838" s="100"/>
      <c r="E838" s="100"/>
      <c r="F838" s="100"/>
    </row>
    <row r="839" spans="1:6" x14ac:dyDescent="0.25">
      <c r="A839" s="100"/>
      <c r="B839" s="100"/>
      <c r="C839" s="100"/>
      <c r="D839" s="100"/>
      <c r="E839" s="100"/>
      <c r="F839" s="100"/>
    </row>
    <row r="840" spans="1:6" x14ac:dyDescent="0.25">
      <c r="A840" s="100"/>
      <c r="B840" s="100"/>
      <c r="C840" s="100"/>
      <c r="D840" s="100"/>
      <c r="E840" s="100"/>
      <c r="F840" s="100"/>
    </row>
    <row r="841" spans="1:6" x14ac:dyDescent="0.25">
      <c r="A841" s="100"/>
      <c r="B841" s="100"/>
      <c r="C841" s="100"/>
      <c r="D841" s="100"/>
      <c r="E841" s="100"/>
      <c r="F841" s="100"/>
    </row>
    <row r="842" spans="1:6" x14ac:dyDescent="0.25">
      <c r="A842" s="100"/>
      <c r="B842" s="100"/>
      <c r="C842" s="100"/>
      <c r="D842" s="100"/>
      <c r="E842" s="100"/>
      <c r="F842" s="100"/>
    </row>
    <row r="843" spans="1:6" x14ac:dyDescent="0.25">
      <c r="A843" s="100"/>
      <c r="B843" s="100"/>
      <c r="C843" s="100"/>
      <c r="D843" s="100"/>
      <c r="E843" s="100"/>
      <c r="F843" s="100"/>
    </row>
    <row r="844" spans="1:6" x14ac:dyDescent="0.25">
      <c r="A844" s="100"/>
      <c r="B844" s="100"/>
      <c r="C844" s="100"/>
      <c r="D844" s="100"/>
      <c r="E844" s="100"/>
      <c r="F844" s="100"/>
    </row>
    <row r="845" spans="1:6" x14ac:dyDescent="0.25">
      <c r="A845" s="100"/>
      <c r="B845" s="100"/>
      <c r="C845" s="100"/>
      <c r="D845" s="100"/>
      <c r="E845" s="100"/>
      <c r="F845" s="100"/>
    </row>
    <row r="846" spans="1:6" x14ac:dyDescent="0.25">
      <c r="A846" s="100"/>
      <c r="B846" s="100"/>
      <c r="C846" s="100"/>
      <c r="D846" s="100"/>
      <c r="E846" s="100"/>
      <c r="F846" s="100"/>
    </row>
    <row r="847" spans="1:6" x14ac:dyDescent="0.25">
      <c r="A847" s="100"/>
      <c r="B847" s="100"/>
      <c r="C847" s="100"/>
      <c r="D847" s="100"/>
      <c r="E847" s="100"/>
      <c r="F847" s="100"/>
    </row>
    <row r="848" spans="1:6" x14ac:dyDescent="0.25">
      <c r="A848" s="100"/>
      <c r="B848" s="100"/>
      <c r="C848" s="100"/>
      <c r="D848" s="100"/>
      <c r="E848" s="100"/>
      <c r="F848" s="100"/>
    </row>
    <row r="849" spans="1:6" x14ac:dyDescent="0.25">
      <c r="A849" s="100"/>
      <c r="B849" s="100"/>
      <c r="C849" s="100"/>
      <c r="D849" s="100"/>
      <c r="E849" s="100"/>
      <c r="F849" s="100"/>
    </row>
    <row r="850" spans="1:6" x14ac:dyDescent="0.25">
      <c r="A850" s="100"/>
      <c r="B850" s="100"/>
      <c r="C850" s="100"/>
      <c r="D850" s="100"/>
      <c r="E850" s="100"/>
      <c r="F850" s="100"/>
    </row>
    <row r="851" spans="1:6" x14ac:dyDescent="0.25">
      <c r="A851" s="100"/>
      <c r="B851" s="100"/>
      <c r="C851" s="100"/>
      <c r="D851" s="100"/>
      <c r="E851" s="100"/>
      <c r="F851" s="100"/>
    </row>
    <row r="852" spans="1:6" x14ac:dyDescent="0.25">
      <c r="A852" s="100"/>
      <c r="B852" s="100"/>
      <c r="C852" s="100"/>
      <c r="D852" s="100"/>
      <c r="E852" s="100"/>
      <c r="F852" s="100"/>
    </row>
    <row r="853" spans="1:6" x14ac:dyDescent="0.25">
      <c r="A853" s="100"/>
      <c r="B853" s="100"/>
      <c r="C853" s="100"/>
      <c r="D853" s="100"/>
      <c r="E853" s="100"/>
      <c r="F853" s="100"/>
    </row>
    <row r="854" spans="1:6" x14ac:dyDescent="0.25">
      <c r="A854" s="100"/>
      <c r="B854" s="100"/>
      <c r="C854" s="100"/>
      <c r="D854" s="100"/>
      <c r="E854" s="100"/>
      <c r="F854" s="100"/>
    </row>
    <row r="855" spans="1:6" x14ac:dyDescent="0.25">
      <c r="A855" s="100"/>
      <c r="B855" s="100"/>
      <c r="C855" s="100"/>
      <c r="D855" s="100"/>
      <c r="E855" s="100"/>
      <c r="F855" s="100"/>
    </row>
    <row r="856" spans="1:6" x14ac:dyDescent="0.25">
      <c r="A856" s="100"/>
      <c r="B856" s="100"/>
      <c r="C856" s="100"/>
      <c r="D856" s="100"/>
      <c r="E856" s="100"/>
      <c r="F856" s="100"/>
    </row>
    <row r="857" spans="1:6" x14ac:dyDescent="0.25">
      <c r="A857" s="100"/>
      <c r="B857" s="100"/>
      <c r="C857" s="100"/>
      <c r="D857" s="100"/>
      <c r="E857" s="100"/>
      <c r="F857" s="100"/>
    </row>
    <row r="858" spans="1:6" x14ac:dyDescent="0.25">
      <c r="A858" s="100"/>
      <c r="B858" s="100"/>
      <c r="C858" s="100"/>
      <c r="D858" s="100"/>
      <c r="E858" s="100"/>
      <c r="F858" s="100"/>
    </row>
    <row r="859" spans="1:6" x14ac:dyDescent="0.25">
      <c r="A859" s="100"/>
      <c r="B859" s="100"/>
      <c r="C859" s="100"/>
      <c r="D859" s="100"/>
      <c r="E859" s="100"/>
      <c r="F859" s="100"/>
    </row>
    <row r="860" spans="1:6" x14ac:dyDescent="0.25">
      <c r="A860" s="100"/>
      <c r="B860" s="100"/>
      <c r="C860" s="100"/>
      <c r="D860" s="100"/>
      <c r="E860" s="100"/>
      <c r="F860" s="100"/>
    </row>
    <row r="861" spans="1:6" x14ac:dyDescent="0.25">
      <c r="A861" s="100"/>
      <c r="B861" s="100"/>
      <c r="C861" s="100"/>
      <c r="D861" s="100"/>
      <c r="E861" s="100"/>
      <c r="F861" s="100"/>
    </row>
    <row r="862" spans="1:6" x14ac:dyDescent="0.25">
      <c r="A862" s="100"/>
      <c r="B862" s="100"/>
      <c r="C862" s="100"/>
      <c r="D862" s="100"/>
      <c r="E862" s="100"/>
      <c r="F862" s="100"/>
    </row>
    <row r="863" spans="1:6" x14ac:dyDescent="0.25">
      <c r="A863" s="100"/>
      <c r="B863" s="100"/>
      <c r="C863" s="100"/>
      <c r="D863" s="100"/>
      <c r="E863" s="100"/>
      <c r="F863" s="100"/>
    </row>
    <row r="864" spans="1:6" x14ac:dyDescent="0.25">
      <c r="A864" s="100"/>
      <c r="B864" s="100"/>
      <c r="C864" s="100"/>
      <c r="D864" s="100"/>
      <c r="E864" s="100"/>
      <c r="F864" s="100"/>
    </row>
    <row r="865" spans="1:6" x14ac:dyDescent="0.25">
      <c r="A865" s="100"/>
      <c r="B865" s="100"/>
      <c r="C865" s="100"/>
      <c r="D865" s="100"/>
      <c r="E865" s="100"/>
      <c r="F865" s="100"/>
    </row>
    <row r="866" spans="1:6" x14ac:dyDescent="0.25">
      <c r="A866" s="100"/>
      <c r="B866" s="100"/>
      <c r="C866" s="100"/>
      <c r="D866" s="100"/>
      <c r="E866" s="100"/>
      <c r="F866" s="100"/>
    </row>
    <row r="867" spans="1:6" x14ac:dyDescent="0.25">
      <c r="A867" s="100"/>
      <c r="B867" s="100"/>
      <c r="C867" s="100"/>
      <c r="D867" s="100"/>
      <c r="E867" s="100"/>
      <c r="F867" s="100"/>
    </row>
    <row r="868" spans="1:6" x14ac:dyDescent="0.25">
      <c r="A868" s="100"/>
      <c r="B868" s="100"/>
      <c r="C868" s="100"/>
      <c r="D868" s="100"/>
      <c r="E868" s="100"/>
      <c r="F868" s="100"/>
    </row>
    <row r="869" spans="1:6" x14ac:dyDescent="0.25">
      <c r="A869" s="100"/>
      <c r="B869" s="100"/>
      <c r="C869" s="100"/>
      <c r="D869" s="100"/>
      <c r="E869" s="100"/>
      <c r="F869" s="100"/>
    </row>
    <row r="870" spans="1:6" x14ac:dyDescent="0.25">
      <c r="A870" s="100"/>
      <c r="B870" s="100"/>
      <c r="C870" s="100"/>
      <c r="D870" s="100"/>
      <c r="E870" s="100"/>
      <c r="F870" s="100"/>
    </row>
    <row r="871" spans="1:6" x14ac:dyDescent="0.25">
      <c r="A871" s="100"/>
      <c r="B871" s="100"/>
      <c r="C871" s="100"/>
      <c r="D871" s="100"/>
      <c r="E871" s="100"/>
      <c r="F871" s="100"/>
    </row>
    <row r="872" spans="1:6" x14ac:dyDescent="0.25">
      <c r="A872" s="100"/>
      <c r="B872" s="100"/>
      <c r="C872" s="100"/>
      <c r="D872" s="100"/>
      <c r="E872" s="100"/>
      <c r="F872" s="100"/>
    </row>
    <row r="873" spans="1:6" x14ac:dyDescent="0.25">
      <c r="A873" s="100"/>
      <c r="B873" s="100"/>
      <c r="C873" s="100"/>
      <c r="D873" s="100"/>
      <c r="E873" s="100"/>
      <c r="F873" s="100"/>
    </row>
    <row r="874" spans="1:6" x14ac:dyDescent="0.25">
      <c r="A874" s="100"/>
      <c r="B874" s="100"/>
      <c r="C874" s="100"/>
      <c r="D874" s="100"/>
      <c r="E874" s="100"/>
      <c r="F874" s="100"/>
    </row>
    <row r="875" spans="1:6" x14ac:dyDescent="0.25">
      <c r="A875" s="100"/>
      <c r="B875" s="100"/>
      <c r="C875" s="100"/>
      <c r="D875" s="100"/>
      <c r="E875" s="100"/>
      <c r="F875" s="100"/>
    </row>
    <row r="876" spans="1:6" x14ac:dyDescent="0.25">
      <c r="A876" s="100"/>
      <c r="B876" s="100"/>
      <c r="C876" s="100"/>
      <c r="D876" s="100"/>
      <c r="E876" s="100"/>
      <c r="F876" s="100"/>
    </row>
    <row r="877" spans="1:6" x14ac:dyDescent="0.25">
      <c r="A877" s="100"/>
      <c r="B877" s="100"/>
      <c r="C877" s="100"/>
      <c r="D877" s="100"/>
      <c r="E877" s="100"/>
      <c r="F877" s="100"/>
    </row>
    <row r="878" spans="1:6" x14ac:dyDescent="0.25">
      <c r="A878" s="100"/>
      <c r="B878" s="100"/>
      <c r="C878" s="100"/>
      <c r="D878" s="100"/>
      <c r="E878" s="100"/>
      <c r="F878" s="100"/>
    </row>
    <row r="879" spans="1:6" x14ac:dyDescent="0.25">
      <c r="A879" s="100"/>
      <c r="B879" s="100"/>
      <c r="C879" s="100"/>
      <c r="D879" s="100"/>
      <c r="E879" s="100"/>
      <c r="F879" s="100"/>
    </row>
    <row r="880" spans="1:6" x14ac:dyDescent="0.25">
      <c r="A880" s="100"/>
      <c r="B880" s="100"/>
      <c r="C880" s="100"/>
      <c r="D880" s="100"/>
      <c r="E880" s="100"/>
      <c r="F880" s="100"/>
    </row>
    <row r="881" spans="1:6" x14ac:dyDescent="0.25">
      <c r="A881" s="100"/>
      <c r="B881" s="100"/>
      <c r="C881" s="100"/>
      <c r="D881" s="100"/>
      <c r="E881" s="100"/>
      <c r="F881" s="100"/>
    </row>
    <row r="882" spans="1:6" x14ac:dyDescent="0.25">
      <c r="A882" s="100"/>
      <c r="B882" s="100"/>
      <c r="C882" s="100"/>
      <c r="D882" s="100"/>
      <c r="E882" s="100"/>
      <c r="F882" s="100"/>
    </row>
    <row r="883" spans="1:6" x14ac:dyDescent="0.25">
      <c r="A883" s="100"/>
      <c r="B883" s="100"/>
      <c r="C883" s="100"/>
      <c r="D883" s="100"/>
      <c r="E883" s="100"/>
      <c r="F883" s="100"/>
    </row>
    <row r="884" spans="1:6" x14ac:dyDescent="0.25">
      <c r="A884" s="100"/>
      <c r="B884" s="100"/>
      <c r="C884" s="100"/>
      <c r="D884" s="100"/>
      <c r="E884" s="100"/>
      <c r="F884" s="100"/>
    </row>
    <row r="885" spans="1:6" x14ac:dyDescent="0.25">
      <c r="A885" s="100"/>
      <c r="B885" s="100"/>
      <c r="C885" s="100"/>
      <c r="D885" s="100"/>
      <c r="E885" s="100"/>
      <c r="F885" s="100"/>
    </row>
    <row r="886" spans="1:6" x14ac:dyDescent="0.25">
      <c r="A886" s="100"/>
      <c r="B886" s="100"/>
      <c r="C886" s="100"/>
      <c r="D886" s="100"/>
      <c r="E886" s="100"/>
      <c r="F886" s="100"/>
    </row>
    <row r="887" spans="1:6" x14ac:dyDescent="0.25">
      <c r="A887" s="100"/>
      <c r="B887" s="100"/>
      <c r="C887" s="100"/>
      <c r="D887" s="100"/>
      <c r="E887" s="100"/>
      <c r="F887" s="100"/>
    </row>
    <row r="888" spans="1:6" x14ac:dyDescent="0.25">
      <c r="A888" s="100"/>
      <c r="B888" s="100"/>
      <c r="C888" s="100"/>
      <c r="D888" s="100"/>
      <c r="E888" s="100"/>
      <c r="F888" s="100"/>
    </row>
    <row r="889" spans="1:6" x14ac:dyDescent="0.25">
      <c r="A889" s="100"/>
      <c r="B889" s="100"/>
      <c r="C889" s="100"/>
      <c r="D889" s="100"/>
      <c r="E889" s="100"/>
      <c r="F889" s="100"/>
    </row>
    <row r="890" spans="1:6" x14ac:dyDescent="0.25">
      <c r="A890" s="100"/>
      <c r="B890" s="100"/>
      <c r="C890" s="100"/>
      <c r="D890" s="100"/>
      <c r="E890" s="100"/>
      <c r="F890" s="100"/>
    </row>
    <row r="891" spans="1:6" x14ac:dyDescent="0.25">
      <c r="A891" s="100"/>
      <c r="B891" s="100"/>
      <c r="C891" s="100"/>
      <c r="D891" s="100"/>
      <c r="E891" s="100"/>
      <c r="F891" s="100"/>
    </row>
    <row r="892" spans="1:6" x14ac:dyDescent="0.25">
      <c r="A892" s="100"/>
      <c r="B892" s="100"/>
      <c r="C892" s="100"/>
      <c r="D892" s="100"/>
      <c r="E892" s="100"/>
      <c r="F892" s="100"/>
    </row>
    <row r="893" spans="1:6" x14ac:dyDescent="0.25">
      <c r="A893" s="100"/>
      <c r="B893" s="100"/>
      <c r="C893" s="100"/>
      <c r="D893" s="100"/>
      <c r="E893" s="100"/>
      <c r="F893" s="100"/>
    </row>
    <row r="894" spans="1:6" x14ac:dyDescent="0.25">
      <c r="A894" s="100"/>
      <c r="B894" s="100"/>
      <c r="C894" s="100"/>
      <c r="D894" s="100"/>
      <c r="E894" s="100"/>
      <c r="F894" s="100"/>
    </row>
    <row r="895" spans="1:6" x14ac:dyDescent="0.25">
      <c r="A895" s="100"/>
      <c r="B895" s="100"/>
      <c r="C895" s="100"/>
      <c r="D895" s="100"/>
      <c r="E895" s="100"/>
      <c r="F895" s="100"/>
    </row>
  </sheetData>
  <mergeCells count="490">
    <mergeCell ref="A609:A614"/>
    <mergeCell ref="B609:B614"/>
    <mergeCell ref="C609:C614"/>
    <mergeCell ref="F609:F614"/>
    <mergeCell ref="A591:A602"/>
    <mergeCell ref="B591:B596"/>
    <mergeCell ref="C591:C602"/>
    <mergeCell ref="F591:F596"/>
    <mergeCell ref="B597:B602"/>
    <mergeCell ref="F597:F602"/>
    <mergeCell ref="A603:A608"/>
    <mergeCell ref="B603:B608"/>
    <mergeCell ref="C603:C608"/>
    <mergeCell ref="F603:F608"/>
    <mergeCell ref="B711:B716"/>
    <mergeCell ref="C268:C273"/>
    <mergeCell ref="C262:C267"/>
    <mergeCell ref="F177:F182"/>
    <mergeCell ref="A183:A188"/>
    <mergeCell ref="B201:B206"/>
    <mergeCell ref="F189:F194"/>
    <mergeCell ref="A177:A182"/>
    <mergeCell ref="B288:B293"/>
    <mergeCell ref="C288:C293"/>
    <mergeCell ref="F288:F293"/>
    <mergeCell ref="A282:A293"/>
    <mergeCell ref="F207:F212"/>
    <mergeCell ref="C195:C200"/>
    <mergeCell ref="F195:F200"/>
    <mergeCell ref="F276:F281"/>
    <mergeCell ref="A268:A273"/>
    <mergeCell ref="B268:B273"/>
    <mergeCell ref="C276:C281"/>
    <mergeCell ref="A256:A261"/>
    <mergeCell ref="B250:B255"/>
    <mergeCell ref="A238:A243"/>
    <mergeCell ref="B238:B243"/>
    <mergeCell ref="C238:C243"/>
    <mergeCell ref="F171:F176"/>
    <mergeCell ref="A231:A236"/>
    <mergeCell ref="B231:B236"/>
    <mergeCell ref="A741:A746"/>
    <mergeCell ref="B741:B746"/>
    <mergeCell ref="C741:C746"/>
    <mergeCell ref="F741:F746"/>
    <mergeCell ref="A729:A734"/>
    <mergeCell ref="B729:B734"/>
    <mergeCell ref="C729:C734"/>
    <mergeCell ref="F729:F734"/>
    <mergeCell ref="F699:F704"/>
    <mergeCell ref="A705:A710"/>
    <mergeCell ref="B705:B710"/>
    <mergeCell ref="C705:C710"/>
    <mergeCell ref="F705:F710"/>
    <mergeCell ref="A699:A704"/>
    <mergeCell ref="B699:B704"/>
    <mergeCell ref="C699:C704"/>
    <mergeCell ref="A723:A728"/>
    <mergeCell ref="B723:B728"/>
    <mergeCell ref="C723:C728"/>
    <mergeCell ref="F723:F728"/>
    <mergeCell ref="A711:A716"/>
    <mergeCell ref="A366:A371"/>
    <mergeCell ref="C711:C716"/>
    <mergeCell ref="F711:F716"/>
    <mergeCell ref="F24:F29"/>
    <mergeCell ref="A115:A120"/>
    <mergeCell ref="B115:B120"/>
    <mergeCell ref="C115:C120"/>
    <mergeCell ref="F115:F120"/>
    <mergeCell ref="C213:C230"/>
    <mergeCell ref="B219:B224"/>
    <mergeCell ref="B225:B230"/>
    <mergeCell ref="A244:A249"/>
    <mergeCell ref="B244:B249"/>
    <mergeCell ref="C244:C249"/>
    <mergeCell ref="F244:F249"/>
    <mergeCell ref="A165:A170"/>
    <mergeCell ref="B165:B170"/>
    <mergeCell ref="C165:C170"/>
    <mergeCell ref="C91:C96"/>
    <mergeCell ref="C103:C108"/>
    <mergeCell ref="F165:F170"/>
    <mergeCell ref="A171:A176"/>
    <mergeCell ref="F127:F132"/>
    <mergeCell ref="F133:F138"/>
    <mergeCell ref="F268:F273"/>
    <mergeCell ref="F423:F428"/>
    <mergeCell ref="F324:F329"/>
    <mergeCell ref="B366:B371"/>
    <mergeCell ref="C366:C371"/>
    <mergeCell ref="F366:F371"/>
    <mergeCell ref="B423:B428"/>
    <mergeCell ref="C348:C353"/>
    <mergeCell ref="F348:F353"/>
    <mergeCell ref="C397:C402"/>
    <mergeCell ref="F397:F402"/>
    <mergeCell ref="B391:B396"/>
    <mergeCell ref="C391:C396"/>
    <mergeCell ref="F391:F396"/>
    <mergeCell ref="B397:B402"/>
    <mergeCell ref="B385:B390"/>
    <mergeCell ref="B354:B359"/>
    <mergeCell ref="C354:C359"/>
    <mergeCell ref="F354:F359"/>
    <mergeCell ref="A360:A365"/>
    <mergeCell ref="B360:B365"/>
    <mergeCell ref="B324:B329"/>
    <mergeCell ref="A336:A341"/>
    <mergeCell ref="B336:B341"/>
    <mergeCell ref="C336:C341"/>
    <mergeCell ref="F336:F341"/>
    <mergeCell ref="A330:A335"/>
    <mergeCell ref="C360:C365"/>
    <mergeCell ref="F360:F365"/>
    <mergeCell ref="F342:F347"/>
    <mergeCell ref="B348:B353"/>
    <mergeCell ref="A354:A359"/>
    <mergeCell ref="A342:A347"/>
    <mergeCell ref="A348:A353"/>
    <mergeCell ref="B522:B527"/>
    <mergeCell ref="A578:F578"/>
    <mergeCell ref="C579:C590"/>
    <mergeCell ref="A678:A683"/>
    <mergeCell ref="B678:B683"/>
    <mergeCell ref="C666:C671"/>
    <mergeCell ref="A672:A677"/>
    <mergeCell ref="B672:B677"/>
    <mergeCell ref="C672:C677"/>
    <mergeCell ref="F672:F677"/>
    <mergeCell ref="B647:B652"/>
    <mergeCell ref="A635:A640"/>
    <mergeCell ref="C635:C640"/>
    <mergeCell ref="F635:F640"/>
    <mergeCell ref="F678:F683"/>
    <mergeCell ref="F654:F659"/>
    <mergeCell ref="A641:A646"/>
    <mergeCell ref="A616:F616"/>
    <mergeCell ref="A653:F653"/>
    <mergeCell ref="B635:B640"/>
    <mergeCell ref="A615:F615"/>
    <mergeCell ref="A623:A628"/>
    <mergeCell ref="B623:B628"/>
    <mergeCell ref="C623:C628"/>
    <mergeCell ref="B478:B483"/>
    <mergeCell ref="C478:C483"/>
    <mergeCell ref="F478:F483"/>
    <mergeCell ref="A453:A458"/>
    <mergeCell ref="B453:B458"/>
    <mergeCell ref="C453:C458"/>
    <mergeCell ref="F453:F458"/>
    <mergeCell ref="A459:A464"/>
    <mergeCell ref="B459:B464"/>
    <mergeCell ref="A379:A384"/>
    <mergeCell ref="B379:B384"/>
    <mergeCell ref="A409:A414"/>
    <mergeCell ref="F403:F408"/>
    <mergeCell ref="B409:B414"/>
    <mergeCell ref="A717:A722"/>
    <mergeCell ref="B717:B722"/>
    <mergeCell ref="C717:C722"/>
    <mergeCell ref="F717:F722"/>
    <mergeCell ref="A693:A698"/>
    <mergeCell ref="B693:B698"/>
    <mergeCell ref="C693:C698"/>
    <mergeCell ref="F693:F698"/>
    <mergeCell ref="A666:A671"/>
    <mergeCell ref="B666:B671"/>
    <mergeCell ref="F666:F671"/>
    <mergeCell ref="A691:F691"/>
    <mergeCell ref="A685:A690"/>
    <mergeCell ref="B685:B690"/>
    <mergeCell ref="C685:C690"/>
    <mergeCell ref="F685:F690"/>
    <mergeCell ref="C678:C683"/>
    <mergeCell ref="A477:F477"/>
    <mergeCell ref="A478:A483"/>
    <mergeCell ref="A1:F1"/>
    <mergeCell ref="A2:F2"/>
    <mergeCell ref="A3:F3"/>
    <mergeCell ref="A6:F6"/>
    <mergeCell ref="D8:E8"/>
    <mergeCell ref="D9:E9"/>
    <mergeCell ref="A12:A17"/>
    <mergeCell ref="C12:C17"/>
    <mergeCell ref="A91:A96"/>
    <mergeCell ref="A10:F10"/>
    <mergeCell ref="B91:B96"/>
    <mergeCell ref="C18:C23"/>
    <mergeCell ref="A42:A47"/>
    <mergeCell ref="B42:B47"/>
    <mergeCell ref="C42:C47"/>
    <mergeCell ref="A30:A35"/>
    <mergeCell ref="B30:B35"/>
    <mergeCell ref="C30:C35"/>
    <mergeCell ref="A36:A41"/>
    <mergeCell ref="B36:B41"/>
    <mergeCell ref="C36:C41"/>
    <mergeCell ref="B24:B29"/>
    <mergeCell ref="C24:C29"/>
    <mergeCell ref="A18:A29"/>
    <mergeCell ref="A300:A305"/>
    <mergeCell ref="B300:B305"/>
    <mergeCell ref="C300:C305"/>
    <mergeCell ref="F300:F305"/>
    <mergeCell ref="A312:A317"/>
    <mergeCell ref="B12:B17"/>
    <mergeCell ref="B276:B281"/>
    <mergeCell ref="B282:B287"/>
    <mergeCell ref="C282:C287"/>
    <mergeCell ref="F282:F287"/>
    <mergeCell ref="A294:A299"/>
    <mergeCell ref="F12:F17"/>
    <mergeCell ref="F18:F23"/>
    <mergeCell ref="C250:C255"/>
    <mergeCell ref="F250:F255"/>
    <mergeCell ref="B18:B23"/>
    <mergeCell ref="A274:F274"/>
    <mergeCell ref="A276:A281"/>
    <mergeCell ref="F213:F230"/>
    <mergeCell ref="B171:B176"/>
    <mergeCell ref="C171:C176"/>
    <mergeCell ref="A84:A89"/>
    <mergeCell ref="B84:B89"/>
    <mergeCell ref="C84:C89"/>
    <mergeCell ref="A189:A194"/>
    <mergeCell ref="B189:B194"/>
    <mergeCell ref="C189:C194"/>
    <mergeCell ref="B183:B188"/>
    <mergeCell ref="C183:C188"/>
    <mergeCell ref="C121:C126"/>
    <mergeCell ref="A127:A132"/>
    <mergeCell ref="B127:B132"/>
    <mergeCell ref="C127:C132"/>
    <mergeCell ref="A133:A138"/>
    <mergeCell ref="B133:B138"/>
    <mergeCell ref="C133:C138"/>
    <mergeCell ref="B153:B158"/>
    <mergeCell ref="C153:C158"/>
    <mergeCell ref="C177:C182"/>
    <mergeCell ref="B177:B182"/>
    <mergeCell ref="F30:F35"/>
    <mergeCell ref="F36:F41"/>
    <mergeCell ref="F42:F47"/>
    <mergeCell ref="B147:B152"/>
    <mergeCell ref="F147:F152"/>
    <mergeCell ref="A145:F145"/>
    <mergeCell ref="A147:A152"/>
    <mergeCell ref="C147:C152"/>
    <mergeCell ref="A139:A144"/>
    <mergeCell ref="B139:B144"/>
    <mergeCell ref="C139:C144"/>
    <mergeCell ref="F139:F144"/>
    <mergeCell ref="C60:C65"/>
    <mergeCell ref="A78:A83"/>
    <mergeCell ref="A109:A114"/>
    <mergeCell ref="B109:B114"/>
    <mergeCell ref="C109:C114"/>
    <mergeCell ref="B60:B65"/>
    <mergeCell ref="B78:B83"/>
    <mergeCell ref="C78:C83"/>
    <mergeCell ref="C97:C102"/>
    <mergeCell ref="F153:F158"/>
    <mergeCell ref="A48:A53"/>
    <mergeCell ref="B48:B53"/>
    <mergeCell ref="C48:C53"/>
    <mergeCell ref="C54:C59"/>
    <mergeCell ref="F54:F59"/>
    <mergeCell ref="A153:A164"/>
    <mergeCell ref="F78:F83"/>
    <mergeCell ref="A66:A71"/>
    <mergeCell ref="B66:B71"/>
    <mergeCell ref="C66:C71"/>
    <mergeCell ref="F84:F89"/>
    <mergeCell ref="A121:A126"/>
    <mergeCell ref="B121:B126"/>
    <mergeCell ref="F48:F53"/>
    <mergeCell ref="A54:A59"/>
    <mergeCell ref="B54:B59"/>
    <mergeCell ref="F97:F102"/>
    <mergeCell ref="A103:A108"/>
    <mergeCell ref="B103:B108"/>
    <mergeCell ref="F159:F164"/>
    <mergeCell ref="F109:F114"/>
    <mergeCell ref="B159:B164"/>
    <mergeCell ref="C159:C164"/>
    <mergeCell ref="B256:B261"/>
    <mergeCell ref="C256:C261"/>
    <mergeCell ref="F256:F261"/>
    <mergeCell ref="A262:A267"/>
    <mergeCell ref="B262:B267"/>
    <mergeCell ref="F262:F267"/>
    <mergeCell ref="C201:C206"/>
    <mergeCell ref="F201:F206"/>
    <mergeCell ref="A213:A230"/>
    <mergeCell ref="B207:B212"/>
    <mergeCell ref="C207:C212"/>
    <mergeCell ref="B213:B218"/>
    <mergeCell ref="A250:A255"/>
    <mergeCell ref="C231:C236"/>
    <mergeCell ref="F231:F236"/>
    <mergeCell ref="A207:A212"/>
    <mergeCell ref="A201:A206"/>
    <mergeCell ref="F238:F243"/>
    <mergeCell ref="A684:F684"/>
    <mergeCell ref="C660:C665"/>
    <mergeCell ref="F660:F665"/>
    <mergeCell ref="A647:A652"/>
    <mergeCell ref="C647:C652"/>
    <mergeCell ref="F647:F652"/>
    <mergeCell ref="B641:B646"/>
    <mergeCell ref="C641:C646"/>
    <mergeCell ref="F641:F646"/>
    <mergeCell ref="A654:A659"/>
    <mergeCell ref="B654:B659"/>
    <mergeCell ref="C654:C659"/>
    <mergeCell ref="A660:A665"/>
    <mergeCell ref="B660:B665"/>
    <mergeCell ref="F623:F628"/>
    <mergeCell ref="A629:A634"/>
    <mergeCell ref="B629:B634"/>
    <mergeCell ref="C629:C634"/>
    <mergeCell ref="F629:F634"/>
    <mergeCell ref="A373:A378"/>
    <mergeCell ref="B373:B378"/>
    <mergeCell ref="C373:C378"/>
    <mergeCell ref="F373:F378"/>
    <mergeCell ref="A447:A452"/>
    <mergeCell ref="B447:B452"/>
    <mergeCell ref="C447:C452"/>
    <mergeCell ref="F447:F452"/>
    <mergeCell ref="A471:A476"/>
    <mergeCell ref="B471:B476"/>
    <mergeCell ref="C471:C476"/>
    <mergeCell ref="F471:F476"/>
    <mergeCell ref="C459:C464"/>
    <mergeCell ref="F459:F464"/>
    <mergeCell ref="A465:A470"/>
    <mergeCell ref="B465:B470"/>
    <mergeCell ref="C465:C470"/>
    <mergeCell ref="F465:F470"/>
    <mergeCell ref="A441:A446"/>
    <mergeCell ref="F183:F188"/>
    <mergeCell ref="C324:C329"/>
    <mergeCell ref="B312:B317"/>
    <mergeCell ref="C312:C317"/>
    <mergeCell ref="F312:F317"/>
    <mergeCell ref="C342:C347"/>
    <mergeCell ref="A306:A311"/>
    <mergeCell ref="B306:B311"/>
    <mergeCell ref="C306:C311"/>
    <mergeCell ref="F306:F311"/>
    <mergeCell ref="A318:A323"/>
    <mergeCell ref="B318:B323"/>
    <mergeCell ref="C318:C323"/>
    <mergeCell ref="F318:F323"/>
    <mergeCell ref="A324:A329"/>
    <mergeCell ref="B342:B347"/>
    <mergeCell ref="B330:B335"/>
    <mergeCell ref="C330:C335"/>
    <mergeCell ref="F330:F335"/>
    <mergeCell ref="A195:A200"/>
    <mergeCell ref="B195:B200"/>
    <mergeCell ref="B294:B299"/>
    <mergeCell ref="C294:C299"/>
    <mergeCell ref="F294:F299"/>
    <mergeCell ref="A11:F11"/>
    <mergeCell ref="A90:F90"/>
    <mergeCell ref="A146:F146"/>
    <mergeCell ref="A237:F237"/>
    <mergeCell ref="A275:F275"/>
    <mergeCell ref="A372:F372"/>
    <mergeCell ref="A429:A440"/>
    <mergeCell ref="B429:B434"/>
    <mergeCell ref="C429:C440"/>
    <mergeCell ref="F429:F434"/>
    <mergeCell ref="B435:B440"/>
    <mergeCell ref="F435:F440"/>
    <mergeCell ref="F121:F126"/>
    <mergeCell ref="F91:F96"/>
    <mergeCell ref="A97:A102"/>
    <mergeCell ref="B97:B102"/>
    <mergeCell ref="F60:F65"/>
    <mergeCell ref="F66:F71"/>
    <mergeCell ref="A72:A77"/>
    <mergeCell ref="B72:B77"/>
    <mergeCell ref="C72:C77"/>
    <mergeCell ref="F72:F77"/>
    <mergeCell ref="F103:F108"/>
    <mergeCell ref="A60:A65"/>
    <mergeCell ref="C553:C558"/>
    <mergeCell ref="B441:B446"/>
    <mergeCell ref="C379:C384"/>
    <mergeCell ref="F379:F384"/>
    <mergeCell ref="A385:A390"/>
    <mergeCell ref="C385:C390"/>
    <mergeCell ref="F385:F390"/>
    <mergeCell ref="A391:A396"/>
    <mergeCell ref="A397:A402"/>
    <mergeCell ref="A421:F421"/>
    <mergeCell ref="C423:C428"/>
    <mergeCell ref="A422:F422"/>
    <mergeCell ref="C441:C446"/>
    <mergeCell ref="F441:F446"/>
    <mergeCell ref="A423:A428"/>
    <mergeCell ref="C409:C414"/>
    <mergeCell ref="F409:F414"/>
    <mergeCell ref="A415:A420"/>
    <mergeCell ref="B415:B420"/>
    <mergeCell ref="C415:C420"/>
    <mergeCell ref="F415:F420"/>
    <mergeCell ref="A403:A408"/>
    <mergeCell ref="B403:B408"/>
    <mergeCell ref="C403:C408"/>
    <mergeCell ref="F541:F546"/>
    <mergeCell ref="A565:F565"/>
    <mergeCell ref="B553:B558"/>
    <mergeCell ref="A528:A533"/>
    <mergeCell ref="B528:B533"/>
    <mergeCell ref="C528:C533"/>
    <mergeCell ref="F528:F533"/>
    <mergeCell ref="B547:B552"/>
    <mergeCell ref="C547:C552"/>
    <mergeCell ref="F547:F552"/>
    <mergeCell ref="A559:A564"/>
    <mergeCell ref="B559:B564"/>
    <mergeCell ref="C559:C564"/>
    <mergeCell ref="F559:F564"/>
    <mergeCell ref="A553:A558"/>
    <mergeCell ref="A534:F534"/>
    <mergeCell ref="F553:F558"/>
    <mergeCell ref="A514:A519"/>
    <mergeCell ref="F579:F584"/>
    <mergeCell ref="B585:B590"/>
    <mergeCell ref="A566:A577"/>
    <mergeCell ref="F566:F571"/>
    <mergeCell ref="A490:A495"/>
    <mergeCell ref="B490:B495"/>
    <mergeCell ref="C490:C495"/>
    <mergeCell ref="F490:F495"/>
    <mergeCell ref="F522:F527"/>
    <mergeCell ref="A522:A527"/>
    <mergeCell ref="C522:C527"/>
    <mergeCell ref="A520:F520"/>
    <mergeCell ref="A521:F521"/>
    <mergeCell ref="A508:A513"/>
    <mergeCell ref="B508:B513"/>
    <mergeCell ref="C508:C513"/>
    <mergeCell ref="F508:F513"/>
    <mergeCell ref="A535:A546"/>
    <mergeCell ref="B535:B540"/>
    <mergeCell ref="C535:C546"/>
    <mergeCell ref="F535:F540"/>
    <mergeCell ref="B541:B546"/>
    <mergeCell ref="A484:A489"/>
    <mergeCell ref="B484:B489"/>
    <mergeCell ref="C484:C489"/>
    <mergeCell ref="F484:F489"/>
    <mergeCell ref="A502:A507"/>
    <mergeCell ref="B502:B507"/>
    <mergeCell ref="C502:C507"/>
    <mergeCell ref="F502:F507"/>
    <mergeCell ref="A496:A501"/>
    <mergeCell ref="B496:B501"/>
    <mergeCell ref="C496:C501"/>
    <mergeCell ref="F496:F501"/>
    <mergeCell ref="A735:A740"/>
    <mergeCell ref="B735:B740"/>
    <mergeCell ref="C735:C740"/>
    <mergeCell ref="F735:F740"/>
    <mergeCell ref="B514:B519"/>
    <mergeCell ref="C514:C519"/>
    <mergeCell ref="F514:F519"/>
    <mergeCell ref="A547:A552"/>
    <mergeCell ref="A747:A752"/>
    <mergeCell ref="B747:B752"/>
    <mergeCell ref="C747:C752"/>
    <mergeCell ref="F747:F752"/>
    <mergeCell ref="A692:F692"/>
    <mergeCell ref="F585:F590"/>
    <mergeCell ref="B566:B571"/>
    <mergeCell ref="C566:C577"/>
    <mergeCell ref="A617:A622"/>
    <mergeCell ref="B617:B622"/>
    <mergeCell ref="C617:C622"/>
    <mergeCell ref="B572:B577"/>
    <mergeCell ref="F572:F577"/>
    <mergeCell ref="F617:F622"/>
    <mergeCell ref="A579:A590"/>
    <mergeCell ref="B579:B584"/>
  </mergeCells>
  <pageMargins left="0.9055118110236221" right="0.9055118110236221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92"/>
  <sheetViews>
    <sheetView tabSelected="1" zoomScaleNormal="100" workbookViewId="0">
      <selection activeCell="M590" sqref="A1:M590"/>
    </sheetView>
  </sheetViews>
  <sheetFormatPr defaultRowHeight="15" x14ac:dyDescent="0.25"/>
  <cols>
    <col min="1" max="1" width="6.28515625" customWidth="1"/>
    <col min="2" max="2" width="29.42578125" customWidth="1"/>
    <col min="3" max="3" width="11.85546875" customWidth="1"/>
    <col min="4" max="4" width="17.42578125" customWidth="1"/>
    <col min="5" max="5" width="12" customWidth="1"/>
    <col min="6" max="6" width="11.140625" customWidth="1"/>
    <col min="7" max="7" width="11.28515625" customWidth="1"/>
    <col min="8" max="8" width="11.42578125" customWidth="1"/>
    <col min="9" max="10" width="11.140625" customWidth="1"/>
    <col min="11" max="11" width="11.5703125" customWidth="1"/>
    <col min="12" max="12" width="17.140625" customWidth="1"/>
    <col min="13" max="13" width="14.42578125" customWidth="1"/>
    <col min="14" max="14" width="9.5703125" bestFit="1" customWidth="1"/>
  </cols>
  <sheetData>
    <row r="1" spans="1:14" x14ac:dyDescent="0.25">
      <c r="A1" s="451" t="s">
        <v>48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4" x14ac:dyDescent="0.25">
      <c r="A2" s="452" t="s">
        <v>180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</row>
    <row r="3" spans="1:14" x14ac:dyDescent="0.25">
      <c r="A3" s="451" t="s">
        <v>172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</row>
    <row r="4" spans="1:14" x14ac:dyDescent="0.25">
      <c r="A4" s="8"/>
      <c r="B4" s="8"/>
      <c r="C4" s="66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4" ht="15.75" x14ac:dyDescent="0.25">
      <c r="A5" s="453" t="s">
        <v>181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</row>
    <row r="6" spans="1:14" ht="15.75" x14ac:dyDescent="0.25">
      <c r="A6" s="300" t="s">
        <v>131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</row>
    <row r="7" spans="1:14" ht="9.75" customHeight="1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30"/>
    </row>
    <row r="8" spans="1:14" ht="57" customHeight="1" x14ac:dyDescent="0.25">
      <c r="A8" s="445" t="s">
        <v>61</v>
      </c>
      <c r="B8" s="445" t="s">
        <v>206</v>
      </c>
      <c r="C8" s="445" t="s">
        <v>136</v>
      </c>
      <c r="D8" s="445" t="s">
        <v>57</v>
      </c>
      <c r="E8" s="445" t="s">
        <v>207</v>
      </c>
      <c r="F8" s="445" t="s">
        <v>58</v>
      </c>
      <c r="G8" s="445" t="s">
        <v>137</v>
      </c>
      <c r="H8" s="445"/>
      <c r="I8" s="445"/>
      <c r="J8" s="445"/>
      <c r="K8" s="445"/>
      <c r="L8" s="445" t="s">
        <v>59</v>
      </c>
      <c r="M8" s="445" t="s">
        <v>60</v>
      </c>
      <c r="N8" s="473"/>
    </row>
    <row r="9" spans="1:14" ht="100.5" customHeight="1" x14ac:dyDescent="0.25">
      <c r="A9" s="445"/>
      <c r="B9" s="445"/>
      <c r="C9" s="445"/>
      <c r="D9" s="445"/>
      <c r="E9" s="445"/>
      <c r="F9" s="445"/>
      <c r="G9" s="63" t="s">
        <v>5</v>
      </c>
      <c r="H9" s="63" t="s">
        <v>90</v>
      </c>
      <c r="I9" s="63" t="s">
        <v>135</v>
      </c>
      <c r="J9" s="63" t="s">
        <v>105</v>
      </c>
      <c r="K9" s="63" t="s">
        <v>106</v>
      </c>
      <c r="L9" s="445"/>
      <c r="M9" s="445"/>
      <c r="N9" s="473"/>
    </row>
    <row r="10" spans="1:14" ht="15" customHeight="1" x14ac:dyDescent="0.25">
      <c r="A10" s="29">
        <v>1</v>
      </c>
      <c r="B10" s="29">
        <v>2</v>
      </c>
      <c r="C10" s="63">
        <v>5</v>
      </c>
      <c r="D10" s="29">
        <v>4</v>
      </c>
      <c r="E10" s="29">
        <v>6</v>
      </c>
      <c r="F10" s="29">
        <v>7</v>
      </c>
      <c r="G10" s="29">
        <v>8</v>
      </c>
      <c r="H10" s="29">
        <v>9</v>
      </c>
      <c r="I10" s="29">
        <v>10</v>
      </c>
      <c r="J10" s="29">
        <v>11</v>
      </c>
      <c r="K10" s="29">
        <v>12</v>
      </c>
      <c r="L10" s="29">
        <v>13</v>
      </c>
      <c r="M10" s="29">
        <v>12</v>
      </c>
      <c r="N10" s="15"/>
    </row>
    <row r="11" spans="1:14" ht="28.5" customHeight="1" x14ac:dyDescent="0.25">
      <c r="A11" s="446" t="s">
        <v>99</v>
      </c>
      <c r="B11" s="447"/>
      <c r="C11" s="447"/>
      <c r="D11" s="447"/>
      <c r="E11" s="447"/>
      <c r="F11" s="447"/>
      <c r="G11" s="447"/>
      <c r="H11" s="447"/>
      <c r="I11" s="447"/>
      <c r="J11" s="447"/>
      <c r="K11" s="447"/>
      <c r="L11" s="447"/>
      <c r="M11" s="448"/>
      <c r="N11" s="15"/>
    </row>
    <row r="12" spans="1:14" ht="27.75" customHeight="1" x14ac:dyDescent="0.25">
      <c r="A12" s="449" t="s">
        <v>210</v>
      </c>
      <c r="B12" s="450" t="s">
        <v>122</v>
      </c>
      <c r="C12" s="33"/>
      <c r="D12" s="32" t="s">
        <v>49</v>
      </c>
      <c r="E12" s="59">
        <f>E13+E14+E15</f>
        <v>0</v>
      </c>
      <c r="F12" s="75">
        <f t="shared" ref="F12:K12" si="0">F13+F14+F15</f>
        <v>0</v>
      </c>
      <c r="G12" s="75">
        <f t="shared" si="0"/>
        <v>0</v>
      </c>
      <c r="H12" s="75">
        <f t="shared" si="0"/>
        <v>0</v>
      </c>
      <c r="I12" s="75">
        <f t="shared" si="0"/>
        <v>0</v>
      </c>
      <c r="J12" s="75">
        <f t="shared" si="0"/>
        <v>0</v>
      </c>
      <c r="K12" s="75">
        <f t="shared" si="0"/>
        <v>0</v>
      </c>
      <c r="L12" s="32"/>
      <c r="M12" s="32"/>
      <c r="N12" s="15"/>
    </row>
    <row r="13" spans="1:14" ht="38.25" x14ac:dyDescent="0.25">
      <c r="A13" s="449"/>
      <c r="B13" s="450"/>
      <c r="C13" s="80"/>
      <c r="D13" s="83" t="s">
        <v>132</v>
      </c>
      <c r="E13" s="35">
        <f>E17+E21</f>
        <v>0</v>
      </c>
      <c r="F13" s="35">
        <f t="shared" ref="F13:K13" si="1">F17+F21</f>
        <v>0</v>
      </c>
      <c r="G13" s="35">
        <f t="shared" si="1"/>
        <v>0</v>
      </c>
      <c r="H13" s="35">
        <f t="shared" si="1"/>
        <v>0</v>
      </c>
      <c r="I13" s="35">
        <f t="shared" si="1"/>
        <v>0</v>
      </c>
      <c r="J13" s="35">
        <f t="shared" si="1"/>
        <v>0</v>
      </c>
      <c r="K13" s="35">
        <f t="shared" si="1"/>
        <v>0</v>
      </c>
      <c r="L13" s="34"/>
      <c r="M13" s="34"/>
      <c r="N13" s="16"/>
    </row>
    <row r="14" spans="1:14" ht="38.25" x14ac:dyDescent="0.25">
      <c r="A14" s="449"/>
      <c r="B14" s="450"/>
      <c r="C14" s="80"/>
      <c r="D14" s="90" t="s">
        <v>14</v>
      </c>
      <c r="E14" s="91">
        <f>E18+E22</f>
        <v>0</v>
      </c>
      <c r="F14" s="91">
        <f t="shared" ref="F14:K14" si="2">F18+F22</f>
        <v>0</v>
      </c>
      <c r="G14" s="91">
        <f t="shared" si="2"/>
        <v>0</v>
      </c>
      <c r="H14" s="91">
        <f t="shared" si="2"/>
        <v>0</v>
      </c>
      <c r="I14" s="91">
        <f t="shared" si="2"/>
        <v>0</v>
      </c>
      <c r="J14" s="91">
        <f t="shared" si="2"/>
        <v>0</v>
      </c>
      <c r="K14" s="91">
        <f t="shared" si="2"/>
        <v>0</v>
      </c>
      <c r="L14" s="71"/>
      <c r="M14" s="71"/>
      <c r="N14" s="15"/>
    </row>
    <row r="15" spans="1:14" ht="38.25" x14ac:dyDescent="0.25">
      <c r="A15" s="449"/>
      <c r="B15" s="450"/>
      <c r="C15" s="80"/>
      <c r="D15" s="86" t="s">
        <v>51</v>
      </c>
      <c r="E15" s="41">
        <f>E19+E23</f>
        <v>0</v>
      </c>
      <c r="F15" s="41">
        <f t="shared" ref="F15:K15" si="3">F19+F23</f>
        <v>0</v>
      </c>
      <c r="G15" s="41">
        <f t="shared" si="3"/>
        <v>0</v>
      </c>
      <c r="H15" s="41">
        <f t="shared" si="3"/>
        <v>0</v>
      </c>
      <c r="I15" s="41">
        <f t="shared" si="3"/>
        <v>0</v>
      </c>
      <c r="J15" s="41">
        <f t="shared" si="3"/>
        <v>0</v>
      </c>
      <c r="K15" s="41">
        <f t="shared" si="3"/>
        <v>0</v>
      </c>
      <c r="L15" s="40"/>
      <c r="M15" s="40"/>
      <c r="N15" s="15"/>
    </row>
    <row r="16" spans="1:14" ht="25.5" customHeight="1" x14ac:dyDescent="0.25">
      <c r="A16" s="455" t="s">
        <v>71</v>
      </c>
      <c r="B16" s="348" t="s">
        <v>56</v>
      </c>
      <c r="C16" s="64"/>
      <c r="D16" s="85" t="s">
        <v>49</v>
      </c>
      <c r="E16" s="27">
        <f>E17+E18+E19</f>
        <v>0</v>
      </c>
      <c r="F16" s="27">
        <f t="shared" ref="F16:K16" si="4">F17+F18+F19</f>
        <v>0</v>
      </c>
      <c r="G16" s="27">
        <f t="shared" si="4"/>
        <v>0</v>
      </c>
      <c r="H16" s="27">
        <f t="shared" si="4"/>
        <v>0</v>
      </c>
      <c r="I16" s="27">
        <f t="shared" si="4"/>
        <v>0</v>
      </c>
      <c r="J16" s="27">
        <f t="shared" si="4"/>
        <v>0</v>
      </c>
      <c r="K16" s="27">
        <f t="shared" si="4"/>
        <v>0</v>
      </c>
      <c r="L16" s="39" t="s">
        <v>50</v>
      </c>
      <c r="M16" s="39"/>
      <c r="N16" s="15"/>
    </row>
    <row r="17" spans="1:14" ht="46.5" customHeight="1" x14ac:dyDescent="0.25">
      <c r="A17" s="456"/>
      <c r="B17" s="349"/>
      <c r="C17" s="64" t="s">
        <v>134</v>
      </c>
      <c r="D17" s="65" t="s">
        <v>132</v>
      </c>
      <c r="E17" s="70">
        <v>0</v>
      </c>
      <c r="F17" s="70">
        <f>G17+H17+I17+J17+K17</f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36" t="s">
        <v>50</v>
      </c>
      <c r="M17" s="36"/>
      <c r="N17" s="15"/>
    </row>
    <row r="18" spans="1:14" ht="39" customHeight="1" x14ac:dyDescent="0.25">
      <c r="A18" s="456"/>
      <c r="B18" s="349"/>
      <c r="C18" s="64" t="s">
        <v>134</v>
      </c>
      <c r="D18" s="65" t="s">
        <v>133</v>
      </c>
      <c r="E18" s="70">
        <v>0</v>
      </c>
      <c r="F18" s="70">
        <f>G18+H18+I18+J18+K18</f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36" t="s">
        <v>50</v>
      </c>
      <c r="M18" s="36"/>
      <c r="N18" s="16"/>
    </row>
    <row r="19" spans="1:14" ht="38.25" customHeight="1" x14ac:dyDescent="0.25">
      <c r="A19" s="457"/>
      <c r="B19" s="350"/>
      <c r="C19" s="69" t="s">
        <v>134</v>
      </c>
      <c r="D19" s="84" t="s">
        <v>51</v>
      </c>
      <c r="E19" s="74">
        <v>0</v>
      </c>
      <c r="F19" s="74">
        <f>G19+H19+I19+J19+K19</f>
        <v>0</v>
      </c>
      <c r="G19" s="74">
        <f>G26</f>
        <v>0</v>
      </c>
      <c r="H19" s="74">
        <f>H26</f>
        <v>0</v>
      </c>
      <c r="I19" s="74">
        <v>0</v>
      </c>
      <c r="J19" s="74">
        <f>J26</f>
        <v>0</v>
      </c>
      <c r="K19" s="74">
        <f>K26</f>
        <v>0</v>
      </c>
      <c r="L19" s="69" t="s">
        <v>50</v>
      </c>
      <c r="M19" s="69"/>
      <c r="N19" s="73"/>
    </row>
    <row r="20" spans="1:14" ht="27.75" customHeight="1" x14ac:dyDescent="0.25">
      <c r="A20" s="455" t="s">
        <v>66</v>
      </c>
      <c r="B20" s="348" t="s">
        <v>228</v>
      </c>
      <c r="C20" s="64"/>
      <c r="D20" s="85" t="s">
        <v>49</v>
      </c>
      <c r="E20" s="27">
        <f t="shared" ref="E20:K20" si="5">E21+E22+E23</f>
        <v>0</v>
      </c>
      <c r="F20" s="27">
        <f t="shared" si="5"/>
        <v>0</v>
      </c>
      <c r="G20" s="27">
        <f t="shared" si="5"/>
        <v>0</v>
      </c>
      <c r="H20" s="27">
        <f t="shared" si="5"/>
        <v>0</v>
      </c>
      <c r="I20" s="27">
        <f t="shared" si="5"/>
        <v>0</v>
      </c>
      <c r="J20" s="27">
        <f t="shared" si="5"/>
        <v>0</v>
      </c>
      <c r="K20" s="27">
        <f t="shared" si="5"/>
        <v>0</v>
      </c>
      <c r="L20" s="39" t="s">
        <v>50</v>
      </c>
      <c r="M20" s="39"/>
      <c r="N20" s="16"/>
    </row>
    <row r="21" spans="1:14" ht="42.75" customHeight="1" x14ac:dyDescent="0.25">
      <c r="A21" s="456"/>
      <c r="B21" s="349"/>
      <c r="C21" s="64" t="s">
        <v>134</v>
      </c>
      <c r="D21" s="65" t="s">
        <v>132</v>
      </c>
      <c r="E21" s="70">
        <v>0</v>
      </c>
      <c r="F21" s="70">
        <f>G21+H21+I21+J21+K21</f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69" t="s">
        <v>50</v>
      </c>
      <c r="M21" s="69"/>
      <c r="N21" s="16"/>
    </row>
    <row r="22" spans="1:14" ht="36" customHeight="1" x14ac:dyDescent="0.25">
      <c r="A22" s="456"/>
      <c r="B22" s="349"/>
      <c r="C22" s="64" t="s">
        <v>134</v>
      </c>
      <c r="D22" s="65" t="s">
        <v>133</v>
      </c>
      <c r="E22" s="70">
        <v>0</v>
      </c>
      <c r="F22" s="70">
        <f>G22+H22+I22+J22+K22</f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69" t="s">
        <v>50</v>
      </c>
      <c r="M22" s="69"/>
      <c r="N22" s="16"/>
    </row>
    <row r="23" spans="1:14" ht="41.25" customHeight="1" x14ac:dyDescent="0.25">
      <c r="A23" s="457"/>
      <c r="B23" s="350"/>
      <c r="C23" s="69" t="s">
        <v>134</v>
      </c>
      <c r="D23" s="84" t="s">
        <v>51</v>
      </c>
      <c r="E23" s="74">
        <v>0</v>
      </c>
      <c r="F23" s="74">
        <f>G23+H23+I23+J23+K23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69" t="s">
        <v>50</v>
      </c>
      <c r="M23" s="69"/>
      <c r="N23" s="73"/>
    </row>
    <row r="24" spans="1:14" ht="22.5" customHeight="1" x14ac:dyDescent="0.25">
      <c r="A24" s="296" t="s">
        <v>52</v>
      </c>
      <c r="B24" s="296"/>
      <c r="C24" s="62"/>
      <c r="D24" s="85" t="s">
        <v>53</v>
      </c>
      <c r="E24" s="38">
        <f>E16+E20</f>
        <v>0</v>
      </c>
      <c r="F24" s="38">
        <f t="shared" ref="F24:K24" si="6">F16+F20</f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  <c r="K24" s="38">
        <f t="shared" si="6"/>
        <v>0</v>
      </c>
      <c r="L24" s="28"/>
      <c r="M24" s="28"/>
      <c r="N24" s="15"/>
    </row>
    <row r="25" spans="1:14" ht="38.25" x14ac:dyDescent="0.25">
      <c r="A25" s="296"/>
      <c r="B25" s="296"/>
      <c r="C25" s="78"/>
      <c r="D25" s="87" t="s">
        <v>139</v>
      </c>
      <c r="E25" s="75">
        <f>E13</f>
        <v>0</v>
      </c>
      <c r="F25" s="75">
        <f t="shared" ref="F25:K25" si="7">F13</f>
        <v>0</v>
      </c>
      <c r="G25" s="75">
        <f t="shared" si="7"/>
        <v>0</v>
      </c>
      <c r="H25" s="75">
        <f t="shared" si="7"/>
        <v>0</v>
      </c>
      <c r="I25" s="75">
        <f t="shared" si="7"/>
        <v>0</v>
      </c>
      <c r="J25" s="75">
        <f t="shared" si="7"/>
        <v>0</v>
      </c>
      <c r="K25" s="75">
        <f t="shared" si="7"/>
        <v>0</v>
      </c>
      <c r="L25" s="67"/>
      <c r="M25" s="67"/>
      <c r="N25" s="73"/>
    </row>
    <row r="26" spans="1:14" ht="38.25" x14ac:dyDescent="0.25">
      <c r="A26" s="296"/>
      <c r="B26" s="296"/>
      <c r="C26" s="78"/>
      <c r="D26" s="88" t="s">
        <v>65</v>
      </c>
      <c r="E26" s="43">
        <f>E14</f>
        <v>0</v>
      </c>
      <c r="F26" s="43">
        <f t="shared" ref="F26:K26" si="8">F14</f>
        <v>0</v>
      </c>
      <c r="G26" s="43">
        <f t="shared" si="8"/>
        <v>0</v>
      </c>
      <c r="H26" s="43">
        <f t="shared" si="8"/>
        <v>0</v>
      </c>
      <c r="I26" s="43">
        <f t="shared" si="8"/>
        <v>0</v>
      </c>
      <c r="J26" s="43">
        <f t="shared" si="8"/>
        <v>0</v>
      </c>
      <c r="K26" s="43">
        <f t="shared" si="8"/>
        <v>0</v>
      </c>
      <c r="L26" s="44"/>
      <c r="M26" s="44"/>
      <c r="N26" s="16"/>
    </row>
    <row r="27" spans="1:14" ht="38.25" x14ac:dyDescent="0.25">
      <c r="A27" s="296"/>
      <c r="B27" s="296"/>
      <c r="C27" s="78"/>
      <c r="D27" s="89" t="s">
        <v>15</v>
      </c>
      <c r="E27" s="46">
        <f>E15</f>
        <v>0</v>
      </c>
      <c r="F27" s="46">
        <f t="shared" ref="F27:K27" si="9">F15</f>
        <v>0</v>
      </c>
      <c r="G27" s="46">
        <f t="shared" si="9"/>
        <v>0</v>
      </c>
      <c r="H27" s="46">
        <f t="shared" si="9"/>
        <v>0</v>
      </c>
      <c r="I27" s="46">
        <f t="shared" si="9"/>
        <v>0</v>
      </c>
      <c r="J27" s="46">
        <f t="shared" si="9"/>
        <v>0</v>
      </c>
      <c r="K27" s="46">
        <f t="shared" si="9"/>
        <v>0</v>
      </c>
      <c r="L27" s="40"/>
      <c r="M27" s="40"/>
      <c r="N27" s="15"/>
    </row>
    <row r="28" spans="1:14" ht="33" customHeight="1" x14ac:dyDescent="0.25">
      <c r="A28" s="454" t="s">
        <v>188</v>
      </c>
      <c r="B28" s="454"/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</row>
    <row r="29" spans="1:14" ht="28.5" customHeight="1" x14ac:dyDescent="0.25">
      <c r="A29" s="449" t="s">
        <v>211</v>
      </c>
      <c r="B29" s="450" t="s">
        <v>147</v>
      </c>
      <c r="C29" s="68"/>
      <c r="D29" s="32" t="s">
        <v>49</v>
      </c>
      <c r="E29" s="75">
        <f t="shared" ref="E29:K29" si="10">E30+E31+E32</f>
        <v>0</v>
      </c>
      <c r="F29" s="75">
        <f t="shared" si="10"/>
        <v>91015.400000000009</v>
      </c>
      <c r="G29" s="75">
        <f t="shared" si="10"/>
        <v>22285.300000000007</v>
      </c>
      <c r="H29" s="75">
        <f t="shared" si="10"/>
        <v>17298.900000000001</v>
      </c>
      <c r="I29" s="75">
        <f t="shared" si="10"/>
        <v>17036.800000000003</v>
      </c>
      <c r="J29" s="75">
        <f t="shared" si="10"/>
        <v>17090.100000000002</v>
      </c>
      <c r="K29" s="75">
        <f t="shared" si="10"/>
        <v>17304.300000000003</v>
      </c>
      <c r="L29" s="34"/>
      <c r="M29" s="34"/>
      <c r="N29" s="17"/>
    </row>
    <row r="30" spans="1:14" ht="38.25" x14ac:dyDescent="0.25">
      <c r="A30" s="449"/>
      <c r="B30" s="450"/>
      <c r="C30" s="79"/>
      <c r="D30" s="34" t="s">
        <v>127</v>
      </c>
      <c r="E30" s="35">
        <f t="shared" ref="E30:K32" si="11">E34+E86</f>
        <v>0</v>
      </c>
      <c r="F30" s="35">
        <f t="shared" si="11"/>
        <v>89650.700000000012</v>
      </c>
      <c r="G30" s="35">
        <f t="shared" si="11"/>
        <v>20920.600000000006</v>
      </c>
      <c r="H30" s="35">
        <f t="shared" si="11"/>
        <v>17298.900000000001</v>
      </c>
      <c r="I30" s="35">
        <f t="shared" si="11"/>
        <v>17036.800000000003</v>
      </c>
      <c r="J30" s="35">
        <f t="shared" si="11"/>
        <v>17090.100000000002</v>
      </c>
      <c r="K30" s="35">
        <f t="shared" si="11"/>
        <v>17304.300000000003</v>
      </c>
      <c r="L30" s="67"/>
      <c r="M30" s="67"/>
    </row>
    <row r="31" spans="1:14" ht="38.25" x14ac:dyDescent="0.25">
      <c r="A31" s="449"/>
      <c r="B31" s="450"/>
      <c r="C31" s="79"/>
      <c r="D31" s="71" t="s">
        <v>14</v>
      </c>
      <c r="E31" s="91">
        <f t="shared" si="11"/>
        <v>0</v>
      </c>
      <c r="F31" s="91">
        <f t="shared" si="11"/>
        <v>1364.7</v>
      </c>
      <c r="G31" s="91">
        <f t="shared" si="11"/>
        <v>1364.7</v>
      </c>
      <c r="H31" s="91">
        <f t="shared" si="11"/>
        <v>0</v>
      </c>
      <c r="I31" s="91">
        <f t="shared" si="11"/>
        <v>0</v>
      </c>
      <c r="J31" s="91">
        <f t="shared" si="11"/>
        <v>0</v>
      </c>
      <c r="K31" s="91">
        <f t="shared" si="11"/>
        <v>0</v>
      </c>
      <c r="L31" s="71"/>
      <c r="M31" s="71"/>
    </row>
    <row r="32" spans="1:14" ht="40.5" customHeight="1" x14ac:dyDescent="0.25">
      <c r="A32" s="449"/>
      <c r="B32" s="450"/>
      <c r="C32" s="79"/>
      <c r="D32" s="40" t="s">
        <v>15</v>
      </c>
      <c r="E32" s="41">
        <f t="shared" si="11"/>
        <v>0</v>
      </c>
      <c r="F32" s="41">
        <f t="shared" si="11"/>
        <v>0</v>
      </c>
      <c r="G32" s="41">
        <f t="shared" si="11"/>
        <v>0</v>
      </c>
      <c r="H32" s="41">
        <f t="shared" si="11"/>
        <v>0</v>
      </c>
      <c r="I32" s="41">
        <f t="shared" si="11"/>
        <v>0</v>
      </c>
      <c r="J32" s="41">
        <f t="shared" si="11"/>
        <v>0</v>
      </c>
      <c r="K32" s="41">
        <f t="shared" si="11"/>
        <v>0</v>
      </c>
      <c r="L32" s="40"/>
      <c r="M32" s="40"/>
    </row>
    <row r="33" spans="1:14" ht="25.5" customHeight="1" x14ac:dyDescent="0.25">
      <c r="A33" s="439" t="s">
        <v>71</v>
      </c>
      <c r="B33" s="429" t="s">
        <v>165</v>
      </c>
      <c r="C33" s="136"/>
      <c r="D33" s="137" t="s">
        <v>49</v>
      </c>
      <c r="E33" s="138">
        <f t="shared" ref="E33:K33" si="12">E34+E35+E36</f>
        <v>0</v>
      </c>
      <c r="F33" s="138">
        <f t="shared" si="12"/>
        <v>87937.900000000009</v>
      </c>
      <c r="G33" s="138">
        <f t="shared" si="12"/>
        <v>21727.900000000005</v>
      </c>
      <c r="H33" s="138">
        <f t="shared" si="12"/>
        <v>16983.5</v>
      </c>
      <c r="I33" s="138">
        <f t="shared" si="12"/>
        <v>16301.900000000001</v>
      </c>
      <c r="J33" s="138">
        <f t="shared" si="12"/>
        <v>16355.2</v>
      </c>
      <c r="K33" s="138">
        <f t="shared" si="12"/>
        <v>16569.400000000001</v>
      </c>
      <c r="L33" s="139" t="s">
        <v>50</v>
      </c>
      <c r="M33" s="139"/>
      <c r="N33" s="17"/>
    </row>
    <row r="34" spans="1:14" ht="45" customHeight="1" x14ac:dyDescent="0.25">
      <c r="A34" s="440"/>
      <c r="B34" s="430"/>
      <c r="C34" s="136" t="s">
        <v>134</v>
      </c>
      <c r="D34" s="140" t="s">
        <v>132</v>
      </c>
      <c r="E34" s="141">
        <f t="shared" ref="E34:F36" si="13">E38+E42+E46+E50+E54+E58+E62+E66+E70+E74+E78</f>
        <v>0</v>
      </c>
      <c r="F34" s="141">
        <f t="shared" si="13"/>
        <v>86573.200000000012</v>
      </c>
      <c r="G34" s="141">
        <f>G38+G42+G46+G50+G54+G58+G62+G66+G70+G74+G78</f>
        <v>20363.200000000004</v>
      </c>
      <c r="H34" s="141">
        <f>H38+H42+H46+H50+H54+H58+H62+H66+H70+H74+H78</f>
        <v>16983.5</v>
      </c>
      <c r="I34" s="141">
        <f>I38+I42+I46+I50+I54+I58+I62+I66+I70+I74+I78</f>
        <v>16301.900000000001</v>
      </c>
      <c r="J34" s="141">
        <f>J38+J42+J46+J50+J54+J58+J62+J66+J70+J74+J78</f>
        <v>16355.2</v>
      </c>
      <c r="K34" s="141">
        <f>K38+K42+K46+K50+K54+K58+K62+K66+K70+K74+K78</f>
        <v>16569.400000000001</v>
      </c>
      <c r="L34" s="136" t="s">
        <v>50</v>
      </c>
      <c r="M34" s="136"/>
    </row>
    <row r="35" spans="1:14" ht="42.75" customHeight="1" x14ac:dyDescent="0.25">
      <c r="A35" s="440"/>
      <c r="B35" s="430"/>
      <c r="C35" s="136" t="s">
        <v>134</v>
      </c>
      <c r="D35" s="140" t="s">
        <v>133</v>
      </c>
      <c r="E35" s="141">
        <f t="shared" ref="E35:K35" si="14">E39+E43+E47+E51+E55+E59+E63+E67+E71+E75+E79+E83</f>
        <v>0</v>
      </c>
      <c r="F35" s="141">
        <f t="shared" si="14"/>
        <v>1364.7</v>
      </c>
      <c r="G35" s="141">
        <f t="shared" si="14"/>
        <v>1364.7</v>
      </c>
      <c r="H35" s="141">
        <f t="shared" si="14"/>
        <v>0</v>
      </c>
      <c r="I35" s="141">
        <f t="shared" si="14"/>
        <v>0</v>
      </c>
      <c r="J35" s="141">
        <f t="shared" si="14"/>
        <v>0</v>
      </c>
      <c r="K35" s="141">
        <f t="shared" si="14"/>
        <v>0</v>
      </c>
      <c r="L35" s="136" t="s">
        <v>50</v>
      </c>
      <c r="M35" s="136"/>
    </row>
    <row r="36" spans="1:14" ht="43.5" customHeight="1" x14ac:dyDescent="0.25">
      <c r="A36" s="441"/>
      <c r="B36" s="431"/>
      <c r="C36" s="136" t="s">
        <v>134</v>
      </c>
      <c r="D36" s="140" t="s">
        <v>51</v>
      </c>
      <c r="E36" s="141">
        <f t="shared" si="13"/>
        <v>0</v>
      </c>
      <c r="F36" s="141">
        <f t="shared" si="13"/>
        <v>0</v>
      </c>
      <c r="G36" s="141">
        <f>G40+G44+G48+G52+G56+G60+G64+G68+G72+G76+G80</f>
        <v>0</v>
      </c>
      <c r="H36" s="141">
        <f>H40+H44+H48+H52+H56+H60+H64+H68+H72+H76+H80</f>
        <v>0</v>
      </c>
      <c r="I36" s="141">
        <f>I40+I44+I48+I52+I56+I60+I64+I68+I72+I76+I80</f>
        <v>0</v>
      </c>
      <c r="J36" s="141">
        <f>J40+J44+J48+J52+J56+J60+J64+J68+J72+J76+J80</f>
        <v>0</v>
      </c>
      <c r="K36" s="141">
        <f>K40+K44+K48+K52+K56+K60+K64+K68+K72+K76+K80</f>
        <v>0</v>
      </c>
      <c r="L36" s="136" t="s">
        <v>50</v>
      </c>
      <c r="M36" s="136"/>
    </row>
    <row r="37" spans="1:14" ht="30" customHeight="1" x14ac:dyDescent="0.25">
      <c r="A37" s="421" t="s">
        <v>62</v>
      </c>
      <c r="B37" s="426" t="s">
        <v>296</v>
      </c>
      <c r="C37" s="222"/>
      <c r="D37" s="178" t="s">
        <v>49</v>
      </c>
      <c r="E37" s="38">
        <f t="shared" ref="E37:K37" si="15">E38+E39+E40</f>
        <v>0</v>
      </c>
      <c r="F37" s="38">
        <f t="shared" si="15"/>
        <v>81223.8</v>
      </c>
      <c r="G37" s="38">
        <f t="shared" si="15"/>
        <v>18193.099999999999</v>
      </c>
      <c r="H37" s="38">
        <f t="shared" si="15"/>
        <v>16212.999999999998</v>
      </c>
      <c r="I37" s="38">
        <f t="shared" si="15"/>
        <v>15534.5</v>
      </c>
      <c r="J37" s="38">
        <f t="shared" si="15"/>
        <v>15534.5</v>
      </c>
      <c r="K37" s="38">
        <f t="shared" si="15"/>
        <v>15748.7</v>
      </c>
      <c r="L37" s="39" t="s">
        <v>50</v>
      </c>
      <c r="M37" s="433"/>
    </row>
    <row r="38" spans="1:14" ht="43.5" customHeight="1" x14ac:dyDescent="0.25">
      <c r="A38" s="422"/>
      <c r="B38" s="427"/>
      <c r="C38" s="222" t="s">
        <v>134</v>
      </c>
      <c r="D38" s="84" t="s">
        <v>132</v>
      </c>
      <c r="E38" s="74">
        <v>0</v>
      </c>
      <c r="F38" s="74">
        <f>G38+H38+I38+J38+K38</f>
        <v>81223.8</v>
      </c>
      <c r="G38" s="74">
        <f>10070+6860-126-0.1-12.5-21.9+1423.6</f>
        <v>18193.099999999999</v>
      </c>
      <c r="H38" s="281">
        <f>15748.7-214.2-686.7+1481.8-116.6</f>
        <v>16212.999999999998</v>
      </c>
      <c r="I38" s="74">
        <f>15748.7-214.2</f>
        <v>15534.5</v>
      </c>
      <c r="J38" s="74">
        <f>15748.7-214.2</f>
        <v>15534.5</v>
      </c>
      <c r="K38" s="74">
        <v>15748.7</v>
      </c>
      <c r="L38" s="176" t="s">
        <v>50</v>
      </c>
      <c r="M38" s="434"/>
    </row>
    <row r="39" spans="1:14" ht="43.5" customHeight="1" x14ac:dyDescent="0.25">
      <c r="A39" s="422"/>
      <c r="B39" s="427"/>
      <c r="C39" s="222" t="s">
        <v>134</v>
      </c>
      <c r="D39" s="84" t="s">
        <v>133</v>
      </c>
      <c r="E39" s="74">
        <v>0</v>
      </c>
      <c r="F39" s="74">
        <f>G39+H39+I39+J39+K39</f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176" t="s">
        <v>50</v>
      </c>
      <c r="M39" s="434"/>
    </row>
    <row r="40" spans="1:14" ht="43.5" customHeight="1" x14ac:dyDescent="0.25">
      <c r="A40" s="423"/>
      <c r="B40" s="428"/>
      <c r="C40" s="222" t="s">
        <v>134</v>
      </c>
      <c r="D40" s="84" t="s">
        <v>51</v>
      </c>
      <c r="E40" s="74">
        <v>0</v>
      </c>
      <c r="F40" s="74">
        <f>G40+H40+I40+J40+K40</f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176" t="s">
        <v>50</v>
      </c>
      <c r="M40" s="435"/>
    </row>
    <row r="41" spans="1:14" ht="43.5" customHeight="1" x14ac:dyDescent="0.25">
      <c r="A41" s="421" t="s">
        <v>64</v>
      </c>
      <c r="B41" s="426" t="s">
        <v>322</v>
      </c>
      <c r="C41" s="222"/>
      <c r="D41" s="178" t="s">
        <v>49</v>
      </c>
      <c r="E41" s="38">
        <f>E42+E43+E44</f>
        <v>0</v>
      </c>
      <c r="F41" s="38">
        <f t="shared" ref="F41:K41" si="16">F42+F43+F44</f>
        <v>1415.1000000000001</v>
      </c>
      <c r="G41" s="38">
        <f t="shared" si="16"/>
        <v>1415.1000000000001</v>
      </c>
      <c r="H41" s="38">
        <f t="shared" si="16"/>
        <v>0</v>
      </c>
      <c r="I41" s="38">
        <f t="shared" si="16"/>
        <v>0</v>
      </c>
      <c r="J41" s="38">
        <f t="shared" si="16"/>
        <v>0</v>
      </c>
      <c r="K41" s="38">
        <f t="shared" si="16"/>
        <v>0</v>
      </c>
      <c r="L41" s="39" t="s">
        <v>50</v>
      </c>
      <c r="M41" s="39"/>
    </row>
    <row r="42" spans="1:14" ht="43.5" customHeight="1" x14ac:dyDescent="0.25">
      <c r="A42" s="422"/>
      <c r="B42" s="427"/>
      <c r="C42" s="222" t="s">
        <v>134</v>
      </c>
      <c r="D42" s="84" t="s">
        <v>132</v>
      </c>
      <c r="E42" s="74">
        <v>0</v>
      </c>
      <c r="F42" s="74">
        <f>G42+H42+I42+J42+K42</f>
        <v>160.4</v>
      </c>
      <c r="G42" s="74">
        <f>126+12.5+21.9</f>
        <v>160.4</v>
      </c>
      <c r="H42" s="74">
        <v>0</v>
      </c>
      <c r="I42" s="74">
        <v>0</v>
      </c>
      <c r="J42" s="74">
        <v>0</v>
      </c>
      <c r="K42" s="74">
        <v>0</v>
      </c>
      <c r="L42" s="176" t="s">
        <v>50</v>
      </c>
      <c r="M42" s="176"/>
    </row>
    <row r="43" spans="1:14" ht="43.5" customHeight="1" x14ac:dyDescent="0.25">
      <c r="A43" s="422"/>
      <c r="B43" s="427"/>
      <c r="C43" s="222" t="s">
        <v>134</v>
      </c>
      <c r="D43" s="84" t="s">
        <v>133</v>
      </c>
      <c r="E43" s="74">
        <v>0</v>
      </c>
      <c r="F43" s="74">
        <f>G43+H43+I43+J43+K43</f>
        <v>1254.7</v>
      </c>
      <c r="G43" s="74">
        <f>601+237.5+416.2</f>
        <v>1254.7</v>
      </c>
      <c r="H43" s="74">
        <v>0</v>
      </c>
      <c r="I43" s="74">
        <v>0</v>
      </c>
      <c r="J43" s="74">
        <v>0</v>
      </c>
      <c r="K43" s="74">
        <v>0</v>
      </c>
      <c r="L43" s="176" t="s">
        <v>50</v>
      </c>
      <c r="M43" s="176"/>
    </row>
    <row r="44" spans="1:14" ht="43.5" customHeight="1" x14ac:dyDescent="0.25">
      <c r="A44" s="423"/>
      <c r="B44" s="428"/>
      <c r="C44" s="222" t="s">
        <v>134</v>
      </c>
      <c r="D44" s="84" t="s">
        <v>51</v>
      </c>
      <c r="E44" s="74">
        <v>0</v>
      </c>
      <c r="F44" s="74">
        <f>G44+H44+I44+J44+K44</f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176" t="s">
        <v>50</v>
      </c>
      <c r="M44" s="176"/>
    </row>
    <row r="45" spans="1:14" ht="43.5" customHeight="1" x14ac:dyDescent="0.25">
      <c r="A45" s="421" t="s">
        <v>215</v>
      </c>
      <c r="B45" s="426" t="s">
        <v>299</v>
      </c>
      <c r="C45" s="222"/>
      <c r="D45" s="178" t="s">
        <v>49</v>
      </c>
      <c r="E45" s="38">
        <f>E46+E47+E48</f>
        <v>0</v>
      </c>
      <c r="F45" s="38">
        <f t="shared" ref="F45:K45" si="17">F46+F47+F48</f>
        <v>1328.6</v>
      </c>
      <c r="G45" s="38">
        <f t="shared" si="17"/>
        <v>340</v>
      </c>
      <c r="H45" s="38">
        <f t="shared" si="17"/>
        <v>232.5</v>
      </c>
      <c r="I45" s="38">
        <f t="shared" si="17"/>
        <v>245.5</v>
      </c>
      <c r="J45" s="38">
        <f t="shared" si="17"/>
        <v>255.3</v>
      </c>
      <c r="K45" s="38">
        <f t="shared" si="17"/>
        <v>255.3</v>
      </c>
      <c r="L45" s="39" t="s">
        <v>50</v>
      </c>
      <c r="M45" s="433"/>
    </row>
    <row r="46" spans="1:14" ht="43.5" customHeight="1" x14ac:dyDescent="0.25">
      <c r="A46" s="422"/>
      <c r="B46" s="427"/>
      <c r="C46" s="222" t="s">
        <v>134</v>
      </c>
      <c r="D46" s="84" t="s">
        <v>132</v>
      </c>
      <c r="E46" s="74">
        <v>0</v>
      </c>
      <c r="F46" s="74">
        <f>G46+H46+I46+J46+K46</f>
        <v>1328.6</v>
      </c>
      <c r="G46" s="74">
        <f>280+60</f>
        <v>340</v>
      </c>
      <c r="H46" s="281">
        <f>245.5-13</f>
        <v>232.5</v>
      </c>
      <c r="I46" s="74">
        <v>245.5</v>
      </c>
      <c r="J46" s="74">
        <v>255.3</v>
      </c>
      <c r="K46" s="74">
        <v>255.3</v>
      </c>
      <c r="L46" s="176" t="s">
        <v>50</v>
      </c>
      <c r="M46" s="434"/>
    </row>
    <row r="47" spans="1:14" ht="43.5" customHeight="1" x14ac:dyDescent="0.25">
      <c r="A47" s="422"/>
      <c r="B47" s="427"/>
      <c r="C47" s="222" t="s">
        <v>134</v>
      </c>
      <c r="D47" s="84" t="s">
        <v>133</v>
      </c>
      <c r="E47" s="74">
        <v>0</v>
      </c>
      <c r="F47" s="74">
        <f>G47+H47+I47+J47+K47</f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176" t="s">
        <v>50</v>
      </c>
      <c r="M47" s="434"/>
    </row>
    <row r="48" spans="1:14" ht="43.5" customHeight="1" x14ac:dyDescent="0.25">
      <c r="A48" s="423"/>
      <c r="B48" s="428"/>
      <c r="C48" s="222" t="s">
        <v>134</v>
      </c>
      <c r="D48" s="84" t="s">
        <v>51</v>
      </c>
      <c r="E48" s="74">
        <v>0</v>
      </c>
      <c r="F48" s="74">
        <f>G48+H48+I48+J48+K48</f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176" t="s">
        <v>50</v>
      </c>
      <c r="M48" s="435"/>
    </row>
    <row r="49" spans="1:13" ht="43.5" customHeight="1" x14ac:dyDescent="0.25">
      <c r="A49" s="421" t="s">
        <v>276</v>
      </c>
      <c r="B49" s="426" t="s">
        <v>301</v>
      </c>
      <c r="C49" s="222"/>
      <c r="D49" s="178" t="s">
        <v>49</v>
      </c>
      <c r="E49" s="38">
        <f>E50+E51+E52</f>
        <v>0</v>
      </c>
      <c r="F49" s="38">
        <f t="shared" ref="F49:K49" si="18">F50+F51+F52</f>
        <v>938.20000000000016</v>
      </c>
      <c r="G49" s="38">
        <f t="shared" si="18"/>
        <v>654.4</v>
      </c>
      <c r="H49" s="38">
        <f t="shared" si="18"/>
        <v>80.7</v>
      </c>
      <c r="I49" s="38">
        <f t="shared" si="18"/>
        <v>67.7</v>
      </c>
      <c r="J49" s="38">
        <f t="shared" si="18"/>
        <v>67.7</v>
      </c>
      <c r="K49" s="38">
        <f t="shared" si="18"/>
        <v>67.7</v>
      </c>
      <c r="L49" s="39" t="s">
        <v>50</v>
      </c>
      <c r="M49" s="433"/>
    </row>
    <row r="50" spans="1:13" ht="43.5" customHeight="1" x14ac:dyDescent="0.25">
      <c r="A50" s="422"/>
      <c r="B50" s="427"/>
      <c r="C50" s="222" t="s">
        <v>134</v>
      </c>
      <c r="D50" s="84" t="s">
        <v>132</v>
      </c>
      <c r="E50" s="74">
        <v>0</v>
      </c>
      <c r="F50" s="74">
        <f>G50+H50+I50+J50+K50</f>
        <v>938.20000000000016</v>
      </c>
      <c r="G50" s="74">
        <f>689.4-35</f>
        <v>654.4</v>
      </c>
      <c r="H50" s="74">
        <f>67.7+13</f>
        <v>80.7</v>
      </c>
      <c r="I50" s="74">
        <v>67.7</v>
      </c>
      <c r="J50" s="74">
        <v>67.7</v>
      </c>
      <c r="K50" s="74">
        <v>67.7</v>
      </c>
      <c r="L50" s="176" t="s">
        <v>50</v>
      </c>
      <c r="M50" s="434"/>
    </row>
    <row r="51" spans="1:13" ht="43.5" customHeight="1" x14ac:dyDescent="0.25">
      <c r="A51" s="422"/>
      <c r="B51" s="427"/>
      <c r="C51" s="222" t="s">
        <v>134</v>
      </c>
      <c r="D51" s="84" t="s">
        <v>133</v>
      </c>
      <c r="E51" s="74">
        <v>0</v>
      </c>
      <c r="F51" s="74">
        <f>G51+H51+I51+J51+K51</f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176" t="s">
        <v>50</v>
      </c>
      <c r="M51" s="434"/>
    </row>
    <row r="52" spans="1:13" ht="43.5" customHeight="1" x14ac:dyDescent="0.25">
      <c r="A52" s="423"/>
      <c r="B52" s="428"/>
      <c r="C52" s="222" t="s">
        <v>134</v>
      </c>
      <c r="D52" s="84" t="s">
        <v>51</v>
      </c>
      <c r="E52" s="74">
        <v>0</v>
      </c>
      <c r="F52" s="74">
        <f>G52+H52+I52+J52+K52</f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176" t="s">
        <v>50</v>
      </c>
      <c r="M52" s="435"/>
    </row>
    <row r="53" spans="1:13" ht="43.5" customHeight="1" x14ac:dyDescent="0.25">
      <c r="A53" s="421" t="s">
        <v>277</v>
      </c>
      <c r="B53" s="426" t="s">
        <v>307</v>
      </c>
      <c r="C53" s="222"/>
      <c r="D53" s="178" t="s">
        <v>49</v>
      </c>
      <c r="E53" s="38">
        <f>E54+E55+E56</f>
        <v>0</v>
      </c>
      <c r="F53" s="38">
        <f t="shared" ref="F53:K53" si="19">F54+F55+F56</f>
        <v>156.5</v>
      </c>
      <c r="G53" s="38">
        <f t="shared" si="19"/>
        <v>26</v>
      </c>
      <c r="H53" s="38">
        <f t="shared" si="19"/>
        <v>43.5</v>
      </c>
      <c r="I53" s="38">
        <f t="shared" si="19"/>
        <v>0</v>
      </c>
      <c r="J53" s="38">
        <f t="shared" si="19"/>
        <v>43.5</v>
      </c>
      <c r="K53" s="38">
        <f t="shared" si="19"/>
        <v>43.5</v>
      </c>
      <c r="L53" s="39" t="s">
        <v>50</v>
      </c>
      <c r="M53" s="433"/>
    </row>
    <row r="54" spans="1:13" ht="43.5" customHeight="1" x14ac:dyDescent="0.25">
      <c r="A54" s="422"/>
      <c r="B54" s="427"/>
      <c r="C54" s="222" t="s">
        <v>134</v>
      </c>
      <c r="D54" s="84" t="s">
        <v>132</v>
      </c>
      <c r="E54" s="74">
        <v>0</v>
      </c>
      <c r="F54" s="74">
        <f>G54+H54+I54+J54+K54</f>
        <v>156.5</v>
      </c>
      <c r="G54" s="74">
        <f>10+18.5-2.5</f>
        <v>26</v>
      </c>
      <c r="H54" s="281">
        <v>43.5</v>
      </c>
      <c r="I54" s="74">
        <v>0</v>
      </c>
      <c r="J54" s="74">
        <v>43.5</v>
      </c>
      <c r="K54" s="74">
        <v>43.5</v>
      </c>
      <c r="L54" s="176" t="s">
        <v>50</v>
      </c>
      <c r="M54" s="434"/>
    </row>
    <row r="55" spans="1:13" ht="43.5" customHeight="1" x14ac:dyDescent="0.25">
      <c r="A55" s="422"/>
      <c r="B55" s="427"/>
      <c r="C55" s="222" t="s">
        <v>134</v>
      </c>
      <c r="D55" s="84" t="s">
        <v>133</v>
      </c>
      <c r="E55" s="74">
        <v>0</v>
      </c>
      <c r="F55" s="74">
        <f>G55+H55+I55+J55+K55</f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176" t="s">
        <v>50</v>
      </c>
      <c r="M55" s="434"/>
    </row>
    <row r="56" spans="1:13" ht="43.5" customHeight="1" x14ac:dyDescent="0.25">
      <c r="A56" s="423"/>
      <c r="B56" s="428"/>
      <c r="C56" s="222" t="s">
        <v>134</v>
      </c>
      <c r="D56" s="84" t="s">
        <v>51</v>
      </c>
      <c r="E56" s="74">
        <v>0</v>
      </c>
      <c r="F56" s="74">
        <f>G56+H56+I56+J56+K56</f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176" t="s">
        <v>50</v>
      </c>
      <c r="M56" s="435"/>
    </row>
    <row r="57" spans="1:13" ht="43.5" customHeight="1" x14ac:dyDescent="0.25">
      <c r="A57" s="421" t="s">
        <v>278</v>
      </c>
      <c r="B57" s="426" t="s">
        <v>274</v>
      </c>
      <c r="C57" s="222"/>
      <c r="D57" s="178" t="s">
        <v>49</v>
      </c>
      <c r="E57" s="38">
        <f>E58+E59+E60</f>
        <v>0</v>
      </c>
      <c r="F57" s="38">
        <f t="shared" ref="F57:K57" si="20">F58+F59+F60</f>
        <v>1088.0999999999999</v>
      </c>
      <c r="G57" s="38">
        <f t="shared" si="20"/>
        <v>135.19999999999999</v>
      </c>
      <c r="H57" s="38">
        <f t="shared" si="20"/>
        <v>193.60000000000002</v>
      </c>
      <c r="I57" s="38">
        <f t="shared" si="20"/>
        <v>253.1</v>
      </c>
      <c r="J57" s="38">
        <f t="shared" si="20"/>
        <v>253.1</v>
      </c>
      <c r="K57" s="38">
        <f t="shared" si="20"/>
        <v>253.1</v>
      </c>
      <c r="L57" s="39" t="s">
        <v>50</v>
      </c>
      <c r="M57" s="433"/>
    </row>
    <row r="58" spans="1:13" ht="43.5" customHeight="1" x14ac:dyDescent="0.25">
      <c r="A58" s="422"/>
      <c r="B58" s="427"/>
      <c r="C58" s="222" t="s">
        <v>134</v>
      </c>
      <c r="D58" s="84" t="s">
        <v>132</v>
      </c>
      <c r="E58" s="74">
        <v>0</v>
      </c>
      <c r="F58" s="74">
        <f>G58+H58+I58+J58+K58</f>
        <v>1088.0999999999999</v>
      </c>
      <c r="G58" s="74">
        <f>135.2-35+35</f>
        <v>135.19999999999999</v>
      </c>
      <c r="H58" s="281">
        <f>253.1-47.6-2.7-9.2</f>
        <v>193.60000000000002</v>
      </c>
      <c r="I58" s="74">
        <v>253.1</v>
      </c>
      <c r="J58" s="74">
        <v>253.1</v>
      </c>
      <c r="K58" s="74">
        <v>253.1</v>
      </c>
      <c r="L58" s="176" t="s">
        <v>50</v>
      </c>
      <c r="M58" s="434"/>
    </row>
    <row r="59" spans="1:13" ht="43.5" customHeight="1" x14ac:dyDescent="0.25">
      <c r="A59" s="422"/>
      <c r="B59" s="427"/>
      <c r="C59" s="222" t="s">
        <v>134</v>
      </c>
      <c r="D59" s="84" t="s">
        <v>133</v>
      </c>
      <c r="E59" s="74">
        <v>0</v>
      </c>
      <c r="F59" s="74">
        <f>G59+H59+I59+J59+K59</f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176" t="s">
        <v>50</v>
      </c>
      <c r="M59" s="434"/>
    </row>
    <row r="60" spans="1:13" ht="43.5" customHeight="1" x14ac:dyDescent="0.25">
      <c r="A60" s="423"/>
      <c r="B60" s="428"/>
      <c r="C60" s="222" t="s">
        <v>134</v>
      </c>
      <c r="D60" s="84" t="s">
        <v>51</v>
      </c>
      <c r="E60" s="74">
        <v>0</v>
      </c>
      <c r="F60" s="74">
        <f>G60+H60+I60+J60+K60</f>
        <v>0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176" t="s">
        <v>50</v>
      </c>
      <c r="M60" s="435"/>
    </row>
    <row r="61" spans="1:13" ht="43.5" customHeight="1" x14ac:dyDescent="0.25">
      <c r="A61" s="421" t="s">
        <v>279</v>
      </c>
      <c r="B61" s="426" t="s">
        <v>267</v>
      </c>
      <c r="C61" s="222"/>
      <c r="D61" s="178" t="s">
        <v>49</v>
      </c>
      <c r="E61" s="38">
        <f>E62+E63+E64</f>
        <v>0</v>
      </c>
      <c r="F61" s="38">
        <f t="shared" ref="F61:K61" si="21">F62+F63+F64</f>
        <v>230.6</v>
      </c>
      <c r="G61" s="38">
        <f t="shared" si="21"/>
        <v>40.700000000000003</v>
      </c>
      <c r="H61" s="38">
        <f t="shared" si="21"/>
        <v>39.9</v>
      </c>
      <c r="I61" s="38">
        <f t="shared" si="21"/>
        <v>50</v>
      </c>
      <c r="J61" s="38">
        <f t="shared" si="21"/>
        <v>50</v>
      </c>
      <c r="K61" s="38">
        <f t="shared" si="21"/>
        <v>50</v>
      </c>
      <c r="L61" s="39" t="s">
        <v>50</v>
      </c>
      <c r="M61" s="433"/>
    </row>
    <row r="62" spans="1:13" ht="43.5" customHeight="1" x14ac:dyDescent="0.25">
      <c r="A62" s="422"/>
      <c r="B62" s="427"/>
      <c r="C62" s="222" t="s">
        <v>134</v>
      </c>
      <c r="D62" s="84" t="s">
        <v>132</v>
      </c>
      <c r="E62" s="74">
        <v>0</v>
      </c>
      <c r="F62" s="74">
        <f>G62+H62+I62+J62+K62</f>
        <v>230.6</v>
      </c>
      <c r="G62" s="74">
        <f>43-2.3</f>
        <v>40.700000000000003</v>
      </c>
      <c r="H62" s="281">
        <v>39.9</v>
      </c>
      <c r="I62" s="74">
        <v>50</v>
      </c>
      <c r="J62" s="74">
        <v>50</v>
      </c>
      <c r="K62" s="74">
        <v>50</v>
      </c>
      <c r="L62" s="176" t="s">
        <v>50</v>
      </c>
      <c r="M62" s="434"/>
    </row>
    <row r="63" spans="1:13" ht="43.5" customHeight="1" x14ac:dyDescent="0.25">
      <c r="A63" s="422"/>
      <c r="B63" s="427"/>
      <c r="C63" s="222" t="s">
        <v>134</v>
      </c>
      <c r="D63" s="84" t="s">
        <v>133</v>
      </c>
      <c r="E63" s="74">
        <v>0</v>
      </c>
      <c r="F63" s="74">
        <f>G63+H63+I63+J63+K63</f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176" t="s">
        <v>50</v>
      </c>
      <c r="M63" s="434"/>
    </row>
    <row r="64" spans="1:13" ht="43.5" customHeight="1" x14ac:dyDescent="0.25">
      <c r="A64" s="423"/>
      <c r="B64" s="428"/>
      <c r="C64" s="222" t="s">
        <v>134</v>
      </c>
      <c r="D64" s="84" t="s">
        <v>51</v>
      </c>
      <c r="E64" s="74">
        <v>0</v>
      </c>
      <c r="F64" s="74">
        <f>G64+H64+I64+J64+K64</f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176" t="s">
        <v>50</v>
      </c>
      <c r="M64" s="435"/>
    </row>
    <row r="65" spans="1:13" ht="43.5" customHeight="1" x14ac:dyDescent="0.25">
      <c r="A65" s="421" t="s">
        <v>280</v>
      </c>
      <c r="B65" s="426" t="s">
        <v>268</v>
      </c>
      <c r="C65" s="222"/>
      <c r="D65" s="178" t="s">
        <v>49</v>
      </c>
      <c r="E65" s="38">
        <f>E66+E67+E68</f>
        <v>0</v>
      </c>
      <c r="F65" s="38">
        <f t="shared" ref="F65:K65" si="22">F66+F67+F68</f>
        <v>239.79999999999998</v>
      </c>
      <c r="G65" s="38">
        <f t="shared" si="22"/>
        <v>62</v>
      </c>
      <c r="H65" s="38">
        <f t="shared" si="22"/>
        <v>99.5</v>
      </c>
      <c r="I65" s="38">
        <f t="shared" si="22"/>
        <v>26.1</v>
      </c>
      <c r="J65" s="38">
        <f t="shared" si="22"/>
        <v>26.1</v>
      </c>
      <c r="K65" s="38">
        <f t="shared" si="22"/>
        <v>26.1</v>
      </c>
      <c r="L65" s="39" t="s">
        <v>50</v>
      </c>
      <c r="M65" s="433"/>
    </row>
    <row r="66" spans="1:13" ht="43.5" customHeight="1" x14ac:dyDescent="0.25">
      <c r="A66" s="422"/>
      <c r="B66" s="427"/>
      <c r="C66" s="222" t="s">
        <v>134</v>
      </c>
      <c r="D66" s="84" t="s">
        <v>132</v>
      </c>
      <c r="E66" s="74">
        <v>0</v>
      </c>
      <c r="F66" s="74">
        <f>G66+H66+I66+J66+K66</f>
        <v>239.79999999999998</v>
      </c>
      <c r="G66" s="74">
        <v>62</v>
      </c>
      <c r="H66" s="281">
        <v>99.5</v>
      </c>
      <c r="I66" s="74">
        <v>26.1</v>
      </c>
      <c r="J66" s="74">
        <v>26.1</v>
      </c>
      <c r="K66" s="74">
        <v>26.1</v>
      </c>
      <c r="L66" s="176" t="s">
        <v>50</v>
      </c>
      <c r="M66" s="434"/>
    </row>
    <row r="67" spans="1:13" ht="43.5" customHeight="1" x14ac:dyDescent="0.25">
      <c r="A67" s="422"/>
      <c r="B67" s="427"/>
      <c r="C67" s="222" t="s">
        <v>134</v>
      </c>
      <c r="D67" s="84" t="s">
        <v>133</v>
      </c>
      <c r="E67" s="74">
        <v>0</v>
      </c>
      <c r="F67" s="74">
        <f>G67+H67+I67+J67+K67</f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176" t="s">
        <v>50</v>
      </c>
      <c r="M67" s="434"/>
    </row>
    <row r="68" spans="1:13" ht="43.5" customHeight="1" x14ac:dyDescent="0.25">
      <c r="A68" s="423"/>
      <c r="B68" s="428"/>
      <c r="C68" s="222" t="s">
        <v>134</v>
      </c>
      <c r="D68" s="84" t="s">
        <v>51</v>
      </c>
      <c r="E68" s="74">
        <v>0</v>
      </c>
      <c r="F68" s="74">
        <f>G68+H68+I68+J68+K68</f>
        <v>0</v>
      </c>
      <c r="G68" s="74">
        <v>0</v>
      </c>
      <c r="H68" s="74">
        <v>0</v>
      </c>
      <c r="I68" s="74">
        <v>0</v>
      </c>
      <c r="J68" s="74">
        <v>0</v>
      </c>
      <c r="K68" s="74">
        <v>0</v>
      </c>
      <c r="L68" s="176" t="s">
        <v>50</v>
      </c>
      <c r="M68" s="435"/>
    </row>
    <row r="69" spans="1:13" ht="43.5" customHeight="1" x14ac:dyDescent="0.25">
      <c r="A69" s="421" t="s">
        <v>281</v>
      </c>
      <c r="B69" s="426" t="s">
        <v>269</v>
      </c>
      <c r="C69" s="222"/>
      <c r="D69" s="178" t="s">
        <v>49</v>
      </c>
      <c r="E69" s="38">
        <f>E70+E71+E72</f>
        <v>0</v>
      </c>
      <c r="F69" s="38">
        <f t="shared" ref="F69:K69" si="23">F70+F71+F72</f>
        <v>240</v>
      </c>
      <c r="G69" s="38">
        <f t="shared" si="23"/>
        <v>55</v>
      </c>
      <c r="H69" s="38">
        <f t="shared" si="23"/>
        <v>20</v>
      </c>
      <c r="I69" s="38">
        <f t="shared" si="23"/>
        <v>55</v>
      </c>
      <c r="J69" s="38">
        <f t="shared" si="23"/>
        <v>55</v>
      </c>
      <c r="K69" s="38">
        <f t="shared" si="23"/>
        <v>55</v>
      </c>
      <c r="L69" s="39" t="s">
        <v>50</v>
      </c>
      <c r="M69" s="433"/>
    </row>
    <row r="70" spans="1:13" ht="43.5" customHeight="1" x14ac:dyDescent="0.25">
      <c r="A70" s="422"/>
      <c r="B70" s="427"/>
      <c r="C70" s="222" t="s">
        <v>134</v>
      </c>
      <c r="D70" s="84" t="s">
        <v>132</v>
      </c>
      <c r="E70" s="74">
        <v>0</v>
      </c>
      <c r="F70" s="74">
        <f>G70+H70+I70+J70+K70</f>
        <v>240</v>
      </c>
      <c r="G70" s="74">
        <v>55</v>
      </c>
      <c r="H70" s="281">
        <f>55-35</f>
        <v>20</v>
      </c>
      <c r="I70" s="74">
        <v>55</v>
      </c>
      <c r="J70" s="74">
        <v>55</v>
      </c>
      <c r="K70" s="74">
        <v>55</v>
      </c>
      <c r="L70" s="176" t="s">
        <v>50</v>
      </c>
      <c r="M70" s="434"/>
    </row>
    <row r="71" spans="1:13" ht="43.5" customHeight="1" x14ac:dyDescent="0.25">
      <c r="A71" s="422"/>
      <c r="B71" s="427"/>
      <c r="C71" s="222" t="s">
        <v>134</v>
      </c>
      <c r="D71" s="84" t="s">
        <v>133</v>
      </c>
      <c r="E71" s="74">
        <v>0</v>
      </c>
      <c r="F71" s="74">
        <f>G71+H71+I71+J71+K71</f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176" t="s">
        <v>50</v>
      </c>
      <c r="M71" s="434"/>
    </row>
    <row r="72" spans="1:13" ht="43.5" customHeight="1" x14ac:dyDescent="0.25">
      <c r="A72" s="423"/>
      <c r="B72" s="428"/>
      <c r="C72" s="222" t="s">
        <v>134</v>
      </c>
      <c r="D72" s="84" t="s">
        <v>51</v>
      </c>
      <c r="E72" s="74">
        <v>0</v>
      </c>
      <c r="F72" s="74">
        <f>G72+H72+I72+J72+K72</f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176" t="s">
        <v>50</v>
      </c>
      <c r="M72" s="435"/>
    </row>
    <row r="73" spans="1:13" ht="43.5" customHeight="1" x14ac:dyDescent="0.25">
      <c r="A73" s="421" t="s">
        <v>282</v>
      </c>
      <c r="B73" s="426" t="s">
        <v>270</v>
      </c>
      <c r="C73" s="222"/>
      <c r="D73" s="178" t="s">
        <v>49</v>
      </c>
      <c r="E73" s="38">
        <f>E74+E75+E76</f>
        <v>0</v>
      </c>
      <c r="F73" s="38">
        <f t="shared" ref="F73:K73" si="24">F74+F75+F76</f>
        <v>967.19999999999993</v>
      </c>
      <c r="G73" s="38">
        <f t="shared" si="24"/>
        <v>696.4</v>
      </c>
      <c r="H73" s="38">
        <f t="shared" si="24"/>
        <v>60.800000000000004</v>
      </c>
      <c r="I73" s="38">
        <f t="shared" si="24"/>
        <v>70</v>
      </c>
      <c r="J73" s="38">
        <f t="shared" si="24"/>
        <v>70</v>
      </c>
      <c r="K73" s="38">
        <f t="shared" si="24"/>
        <v>70</v>
      </c>
      <c r="L73" s="39" t="s">
        <v>50</v>
      </c>
      <c r="M73" s="433"/>
    </row>
    <row r="74" spans="1:13" ht="43.5" customHeight="1" x14ac:dyDescent="0.25">
      <c r="A74" s="422"/>
      <c r="B74" s="427"/>
      <c r="C74" s="222" t="s">
        <v>134</v>
      </c>
      <c r="D74" s="84" t="s">
        <v>132</v>
      </c>
      <c r="E74" s="74">
        <v>0</v>
      </c>
      <c r="F74" s="74">
        <f>G74+H74+I74+J74+K74</f>
        <v>967.19999999999993</v>
      </c>
      <c r="G74" s="74">
        <f>700-3.6</f>
        <v>696.4</v>
      </c>
      <c r="H74" s="281">
        <f>70-0.6-8.6</f>
        <v>60.800000000000004</v>
      </c>
      <c r="I74" s="74">
        <v>70</v>
      </c>
      <c r="J74" s="74">
        <v>70</v>
      </c>
      <c r="K74" s="74">
        <v>70</v>
      </c>
      <c r="L74" s="176" t="s">
        <v>50</v>
      </c>
      <c r="M74" s="434"/>
    </row>
    <row r="75" spans="1:13" ht="43.5" customHeight="1" x14ac:dyDescent="0.25">
      <c r="A75" s="422"/>
      <c r="B75" s="427"/>
      <c r="C75" s="222" t="s">
        <v>134</v>
      </c>
      <c r="D75" s="84" t="s">
        <v>133</v>
      </c>
      <c r="E75" s="74">
        <v>0</v>
      </c>
      <c r="F75" s="74">
        <f>G75+H75+I75+J75+K75</f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176" t="s">
        <v>50</v>
      </c>
      <c r="M75" s="434"/>
    </row>
    <row r="76" spans="1:13" ht="43.5" customHeight="1" x14ac:dyDescent="0.25">
      <c r="A76" s="423"/>
      <c r="B76" s="428"/>
      <c r="C76" s="222" t="s">
        <v>134</v>
      </c>
      <c r="D76" s="84" t="s">
        <v>51</v>
      </c>
      <c r="E76" s="74">
        <v>0</v>
      </c>
      <c r="F76" s="74">
        <f>G76+H76+I76+J76+K76</f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176" t="s">
        <v>50</v>
      </c>
      <c r="M76" s="435"/>
    </row>
    <row r="77" spans="1:13" ht="43.5" customHeight="1" x14ac:dyDescent="0.25">
      <c r="A77" s="421" t="s">
        <v>283</v>
      </c>
      <c r="B77" s="426" t="s">
        <v>289</v>
      </c>
      <c r="C77" s="222"/>
      <c r="D77" s="178" t="s">
        <v>49</v>
      </c>
      <c r="E77" s="38">
        <f>E78+E79+E80</f>
        <v>0</v>
      </c>
      <c r="F77" s="38">
        <f t="shared" ref="F77:K77" si="25">F78+F79+F80</f>
        <v>0</v>
      </c>
      <c r="G77" s="38">
        <f>G78+G79+G80</f>
        <v>0</v>
      </c>
      <c r="H77" s="38">
        <f t="shared" si="25"/>
        <v>0</v>
      </c>
      <c r="I77" s="38">
        <f t="shared" si="25"/>
        <v>0</v>
      </c>
      <c r="J77" s="38">
        <f t="shared" si="25"/>
        <v>0</v>
      </c>
      <c r="K77" s="38">
        <f t="shared" si="25"/>
        <v>0</v>
      </c>
      <c r="L77" s="39" t="s">
        <v>50</v>
      </c>
      <c r="M77" s="433"/>
    </row>
    <row r="78" spans="1:13" ht="43.5" customHeight="1" x14ac:dyDescent="0.25">
      <c r="A78" s="422"/>
      <c r="B78" s="427"/>
      <c r="C78" s="222" t="s">
        <v>134</v>
      </c>
      <c r="D78" s="84" t="s">
        <v>132</v>
      </c>
      <c r="E78" s="74">
        <v>0</v>
      </c>
      <c r="F78" s="74">
        <f>G78+H78+I78+J78+K78</f>
        <v>0</v>
      </c>
      <c r="G78" s="74">
        <f>10-10</f>
        <v>0</v>
      </c>
      <c r="H78" s="74">
        <v>0</v>
      </c>
      <c r="I78" s="74">
        <v>0</v>
      </c>
      <c r="J78" s="74">
        <v>0</v>
      </c>
      <c r="K78" s="74">
        <v>0</v>
      </c>
      <c r="L78" s="176" t="s">
        <v>50</v>
      </c>
      <c r="M78" s="434"/>
    </row>
    <row r="79" spans="1:13" ht="43.5" customHeight="1" x14ac:dyDescent="0.25">
      <c r="A79" s="422"/>
      <c r="B79" s="427"/>
      <c r="C79" s="222" t="s">
        <v>134</v>
      </c>
      <c r="D79" s="84" t="s">
        <v>133</v>
      </c>
      <c r="E79" s="74">
        <v>0</v>
      </c>
      <c r="F79" s="74">
        <f>G79+H79+I79+J79+K79</f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176" t="s">
        <v>50</v>
      </c>
      <c r="M79" s="434"/>
    </row>
    <row r="80" spans="1:13" ht="43.5" customHeight="1" x14ac:dyDescent="0.25">
      <c r="A80" s="423"/>
      <c r="B80" s="428"/>
      <c r="C80" s="222" t="s">
        <v>134</v>
      </c>
      <c r="D80" s="84" t="s">
        <v>51</v>
      </c>
      <c r="E80" s="74">
        <v>0</v>
      </c>
      <c r="F80" s="74">
        <f>G80+H80+I80+J80+K80</f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176" t="s">
        <v>50</v>
      </c>
      <c r="M80" s="435"/>
    </row>
    <row r="81" spans="1:13" ht="43.5" customHeight="1" x14ac:dyDescent="0.25">
      <c r="A81" s="210"/>
      <c r="B81" s="426" t="s">
        <v>390</v>
      </c>
      <c r="C81" s="222"/>
      <c r="D81" s="178" t="s">
        <v>49</v>
      </c>
      <c r="E81" s="38">
        <f t="shared" ref="E81:K81" si="26">E82+E83+E84</f>
        <v>0</v>
      </c>
      <c r="F81" s="38">
        <f t="shared" si="26"/>
        <v>110</v>
      </c>
      <c r="G81" s="38">
        <f t="shared" si="26"/>
        <v>110</v>
      </c>
      <c r="H81" s="38">
        <f t="shared" si="26"/>
        <v>0</v>
      </c>
      <c r="I81" s="38">
        <f t="shared" si="26"/>
        <v>0</v>
      </c>
      <c r="J81" s="38">
        <f t="shared" si="26"/>
        <v>0</v>
      </c>
      <c r="K81" s="38">
        <f t="shared" si="26"/>
        <v>0</v>
      </c>
      <c r="L81" s="39" t="s">
        <v>50</v>
      </c>
      <c r="M81" s="433"/>
    </row>
    <row r="82" spans="1:13" ht="43.5" customHeight="1" x14ac:dyDescent="0.25">
      <c r="A82" s="210" t="s">
        <v>290</v>
      </c>
      <c r="B82" s="427"/>
      <c r="C82" s="222" t="s">
        <v>134</v>
      </c>
      <c r="D82" s="84" t="s">
        <v>132</v>
      </c>
      <c r="E82" s="74">
        <v>0</v>
      </c>
      <c r="F82" s="74">
        <f>G82+H82+I82+J82+K82</f>
        <v>0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209" t="s">
        <v>50</v>
      </c>
      <c r="M82" s="434"/>
    </row>
    <row r="83" spans="1:13" ht="43.5" customHeight="1" x14ac:dyDescent="0.25">
      <c r="A83" s="210"/>
      <c r="B83" s="427"/>
      <c r="C83" s="222" t="s">
        <v>134</v>
      </c>
      <c r="D83" s="84" t="s">
        <v>133</v>
      </c>
      <c r="E83" s="74">
        <v>0</v>
      </c>
      <c r="F83" s="74">
        <f>G83+H83+I83+J83+K83</f>
        <v>110</v>
      </c>
      <c r="G83" s="74">
        <v>110</v>
      </c>
      <c r="H83" s="74">
        <v>0</v>
      </c>
      <c r="I83" s="74">
        <v>0</v>
      </c>
      <c r="J83" s="74">
        <v>0</v>
      </c>
      <c r="K83" s="74">
        <v>0</v>
      </c>
      <c r="L83" s="209" t="s">
        <v>50</v>
      </c>
      <c r="M83" s="434"/>
    </row>
    <row r="84" spans="1:13" ht="43.5" customHeight="1" x14ac:dyDescent="0.25">
      <c r="A84" s="210"/>
      <c r="B84" s="428"/>
      <c r="C84" s="222" t="s">
        <v>134</v>
      </c>
      <c r="D84" s="84" t="s">
        <v>51</v>
      </c>
      <c r="E84" s="74">
        <v>0</v>
      </c>
      <c r="F84" s="74">
        <f>G84+H84+I84+J84+K84</f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209" t="s">
        <v>50</v>
      </c>
      <c r="M84" s="435"/>
    </row>
    <row r="85" spans="1:13" ht="29.25" customHeight="1" x14ac:dyDescent="0.25">
      <c r="A85" s="439" t="s">
        <v>66</v>
      </c>
      <c r="B85" s="429" t="s">
        <v>227</v>
      </c>
      <c r="C85" s="136"/>
      <c r="D85" s="137" t="s">
        <v>49</v>
      </c>
      <c r="E85" s="138">
        <f>E86+E87+E88</f>
        <v>0</v>
      </c>
      <c r="F85" s="138">
        <f t="shared" ref="F85:K85" si="27">F86+F87+F88</f>
        <v>3077.5</v>
      </c>
      <c r="G85" s="138">
        <f t="shared" si="27"/>
        <v>557.4</v>
      </c>
      <c r="H85" s="138">
        <f t="shared" si="27"/>
        <v>315.39999999999998</v>
      </c>
      <c r="I85" s="138">
        <f t="shared" si="27"/>
        <v>734.9</v>
      </c>
      <c r="J85" s="138">
        <f t="shared" si="27"/>
        <v>734.9</v>
      </c>
      <c r="K85" s="138">
        <f t="shared" si="27"/>
        <v>734.9</v>
      </c>
      <c r="L85" s="139" t="s">
        <v>50</v>
      </c>
      <c r="M85" s="139"/>
    </row>
    <row r="86" spans="1:13" ht="38.25" x14ac:dyDescent="0.25">
      <c r="A86" s="440"/>
      <c r="B86" s="430"/>
      <c r="C86" s="136" t="s">
        <v>134</v>
      </c>
      <c r="D86" s="140" t="s">
        <v>132</v>
      </c>
      <c r="E86" s="141">
        <f>E90+E94+E98+E102+E106+E110+E114</f>
        <v>0</v>
      </c>
      <c r="F86" s="141">
        <f t="shared" ref="F86:K86" si="28">F90+F94+F98+F102+F106+F110+F114+F118+F122</f>
        <v>3077.5</v>
      </c>
      <c r="G86" s="141">
        <f t="shared" si="28"/>
        <v>557.4</v>
      </c>
      <c r="H86" s="141">
        <f t="shared" si="28"/>
        <v>315.39999999999998</v>
      </c>
      <c r="I86" s="141">
        <f t="shared" si="28"/>
        <v>734.9</v>
      </c>
      <c r="J86" s="141">
        <f t="shared" si="28"/>
        <v>734.9</v>
      </c>
      <c r="K86" s="141">
        <f t="shared" si="28"/>
        <v>734.9</v>
      </c>
      <c r="L86" s="136" t="s">
        <v>50</v>
      </c>
      <c r="M86" s="136"/>
    </row>
    <row r="87" spans="1:13" ht="38.25" x14ac:dyDescent="0.25">
      <c r="A87" s="440"/>
      <c r="B87" s="430"/>
      <c r="C87" s="136" t="s">
        <v>134</v>
      </c>
      <c r="D87" s="140" t="s">
        <v>133</v>
      </c>
      <c r="E87" s="141">
        <f>E91+E95+E99+E103+E107+E115</f>
        <v>0</v>
      </c>
      <c r="F87" s="141">
        <f t="shared" ref="F87:K88" si="29">F91+F95+F99+F103+F107+F115+F119+F123</f>
        <v>0</v>
      </c>
      <c r="G87" s="141">
        <f t="shared" si="29"/>
        <v>0</v>
      </c>
      <c r="H87" s="141">
        <f t="shared" si="29"/>
        <v>0</v>
      </c>
      <c r="I87" s="141">
        <f t="shared" si="29"/>
        <v>0</v>
      </c>
      <c r="J87" s="141">
        <f t="shared" si="29"/>
        <v>0</v>
      </c>
      <c r="K87" s="141">
        <f t="shared" si="29"/>
        <v>0</v>
      </c>
      <c r="L87" s="136" t="s">
        <v>50</v>
      </c>
      <c r="M87" s="136"/>
    </row>
    <row r="88" spans="1:13" ht="38.25" x14ac:dyDescent="0.25">
      <c r="A88" s="441"/>
      <c r="B88" s="431"/>
      <c r="C88" s="136" t="s">
        <v>134</v>
      </c>
      <c r="D88" s="140" t="s">
        <v>51</v>
      </c>
      <c r="E88" s="141">
        <f>E92+E96+E100+E104+E108+E116</f>
        <v>0</v>
      </c>
      <c r="F88" s="141">
        <f t="shared" si="29"/>
        <v>0</v>
      </c>
      <c r="G88" s="141">
        <f t="shared" si="29"/>
        <v>0</v>
      </c>
      <c r="H88" s="141">
        <f t="shared" si="29"/>
        <v>0</v>
      </c>
      <c r="I88" s="141">
        <f t="shared" si="29"/>
        <v>0</v>
      </c>
      <c r="J88" s="141">
        <f t="shared" si="29"/>
        <v>0</v>
      </c>
      <c r="K88" s="141">
        <f t="shared" si="29"/>
        <v>0</v>
      </c>
      <c r="L88" s="136" t="s">
        <v>50</v>
      </c>
      <c r="M88" s="136"/>
    </row>
    <row r="89" spans="1:13" ht="27" customHeight="1" x14ac:dyDescent="0.25">
      <c r="A89" s="421" t="s">
        <v>70</v>
      </c>
      <c r="B89" s="426" t="s">
        <v>312</v>
      </c>
      <c r="C89" s="284"/>
      <c r="D89" s="178" t="s">
        <v>49</v>
      </c>
      <c r="E89" s="38">
        <f t="shared" ref="E89:K89" si="30">E90+E91+E92</f>
        <v>0</v>
      </c>
      <c r="F89" s="38">
        <f t="shared" si="30"/>
        <v>85</v>
      </c>
      <c r="G89" s="38">
        <f t="shared" si="30"/>
        <v>85</v>
      </c>
      <c r="H89" s="38">
        <f t="shared" si="30"/>
        <v>0</v>
      </c>
      <c r="I89" s="38">
        <f t="shared" si="30"/>
        <v>0</v>
      </c>
      <c r="J89" s="38">
        <f t="shared" si="30"/>
        <v>0</v>
      </c>
      <c r="K89" s="38">
        <f t="shared" si="30"/>
        <v>0</v>
      </c>
      <c r="L89" s="39" t="s">
        <v>50</v>
      </c>
      <c r="M89" s="39"/>
    </row>
    <row r="90" spans="1:13" ht="38.25" x14ac:dyDescent="0.25">
      <c r="A90" s="422"/>
      <c r="B90" s="427"/>
      <c r="C90" s="284" t="s">
        <v>134</v>
      </c>
      <c r="D90" s="279" t="s">
        <v>132</v>
      </c>
      <c r="E90" s="74">
        <v>0</v>
      </c>
      <c r="F90" s="74">
        <f>G90+H90+I90+J90+K90</f>
        <v>85</v>
      </c>
      <c r="G90" s="74">
        <f>53+32</f>
        <v>85</v>
      </c>
      <c r="H90" s="74">
        <v>0</v>
      </c>
      <c r="I90" s="74">
        <v>0</v>
      </c>
      <c r="J90" s="74">
        <v>0</v>
      </c>
      <c r="K90" s="74">
        <v>0</v>
      </c>
      <c r="L90" s="284" t="s">
        <v>50</v>
      </c>
      <c r="M90" s="284"/>
    </row>
    <row r="91" spans="1:13" ht="38.25" x14ac:dyDescent="0.25">
      <c r="A91" s="422"/>
      <c r="B91" s="427"/>
      <c r="C91" s="284" t="s">
        <v>134</v>
      </c>
      <c r="D91" s="279" t="s">
        <v>133</v>
      </c>
      <c r="E91" s="74">
        <v>0</v>
      </c>
      <c r="F91" s="74">
        <f>G91+H91+I91+J91+K91</f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284" t="s">
        <v>50</v>
      </c>
      <c r="M91" s="284"/>
    </row>
    <row r="92" spans="1:13" ht="38.25" x14ac:dyDescent="0.25">
      <c r="A92" s="423"/>
      <c r="B92" s="428"/>
      <c r="C92" s="284" t="s">
        <v>134</v>
      </c>
      <c r="D92" s="279" t="s">
        <v>51</v>
      </c>
      <c r="E92" s="74">
        <v>0</v>
      </c>
      <c r="F92" s="74">
        <f>G92+H92+I92+J92+K92</f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284" t="s">
        <v>50</v>
      </c>
      <c r="M92" s="284"/>
    </row>
    <row r="93" spans="1:13" ht="27" customHeight="1" x14ac:dyDescent="0.25">
      <c r="A93" s="421" t="s">
        <v>216</v>
      </c>
      <c r="B93" s="426" t="s">
        <v>313</v>
      </c>
      <c r="C93" s="284"/>
      <c r="D93" s="178" t="s">
        <v>49</v>
      </c>
      <c r="E93" s="38">
        <f t="shared" ref="E93:K93" si="31">E94+E95+E96</f>
        <v>0</v>
      </c>
      <c r="F93" s="38">
        <f t="shared" si="31"/>
        <v>335</v>
      </c>
      <c r="G93" s="38">
        <f t="shared" si="31"/>
        <v>140</v>
      </c>
      <c r="H93" s="38">
        <f t="shared" si="31"/>
        <v>0</v>
      </c>
      <c r="I93" s="38">
        <f t="shared" si="31"/>
        <v>65</v>
      </c>
      <c r="J93" s="38">
        <f t="shared" si="31"/>
        <v>65</v>
      </c>
      <c r="K93" s="38">
        <f t="shared" si="31"/>
        <v>65</v>
      </c>
      <c r="L93" s="39" t="s">
        <v>50</v>
      </c>
      <c r="M93" s="39"/>
    </row>
    <row r="94" spans="1:13" ht="38.25" x14ac:dyDescent="0.25">
      <c r="A94" s="422"/>
      <c r="B94" s="427"/>
      <c r="C94" s="284" t="s">
        <v>134</v>
      </c>
      <c r="D94" s="279" t="s">
        <v>132</v>
      </c>
      <c r="E94" s="74">
        <v>0</v>
      </c>
      <c r="F94" s="74">
        <f>G94+H94+I94+J94+K94</f>
        <v>335</v>
      </c>
      <c r="G94" s="74">
        <f>45+100-5</f>
        <v>140</v>
      </c>
      <c r="H94" s="74">
        <v>0</v>
      </c>
      <c r="I94" s="74">
        <v>65</v>
      </c>
      <c r="J94" s="74">
        <v>65</v>
      </c>
      <c r="K94" s="74">
        <v>65</v>
      </c>
      <c r="L94" s="284" t="s">
        <v>50</v>
      </c>
      <c r="M94" s="284"/>
    </row>
    <row r="95" spans="1:13" ht="38.25" x14ac:dyDescent="0.25">
      <c r="A95" s="422"/>
      <c r="B95" s="427"/>
      <c r="C95" s="284" t="s">
        <v>134</v>
      </c>
      <c r="D95" s="279" t="s">
        <v>133</v>
      </c>
      <c r="E95" s="74">
        <v>0</v>
      </c>
      <c r="F95" s="74">
        <f>G95+H95+I95+J95+K95</f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284" t="s">
        <v>50</v>
      </c>
      <c r="M95" s="284"/>
    </row>
    <row r="96" spans="1:13" ht="38.25" x14ac:dyDescent="0.25">
      <c r="A96" s="423"/>
      <c r="B96" s="428"/>
      <c r="C96" s="284" t="s">
        <v>134</v>
      </c>
      <c r="D96" s="279" t="s">
        <v>51</v>
      </c>
      <c r="E96" s="74">
        <v>0</v>
      </c>
      <c r="F96" s="74">
        <f>G96+H96+I96+J96+K96</f>
        <v>0</v>
      </c>
      <c r="G96" s="74">
        <v>0</v>
      </c>
      <c r="H96" s="74">
        <v>0</v>
      </c>
      <c r="I96" s="74">
        <v>0</v>
      </c>
      <c r="J96" s="74">
        <v>0</v>
      </c>
      <c r="K96" s="74">
        <v>0</v>
      </c>
      <c r="L96" s="284" t="s">
        <v>50</v>
      </c>
      <c r="M96" s="284"/>
    </row>
    <row r="97" spans="1:13" ht="39" customHeight="1" x14ac:dyDescent="0.25">
      <c r="A97" s="421" t="s">
        <v>223</v>
      </c>
      <c r="B97" s="426" t="s">
        <v>314</v>
      </c>
      <c r="C97" s="284"/>
      <c r="D97" s="178" t="s">
        <v>49</v>
      </c>
      <c r="E97" s="38">
        <f t="shared" ref="E97:K97" si="32">E98+E99+E100</f>
        <v>0</v>
      </c>
      <c r="F97" s="38">
        <f t="shared" si="32"/>
        <v>217.4</v>
      </c>
      <c r="G97" s="38">
        <f t="shared" si="32"/>
        <v>41.4</v>
      </c>
      <c r="H97" s="38">
        <f t="shared" si="32"/>
        <v>44</v>
      </c>
      <c r="I97" s="38">
        <f t="shared" si="32"/>
        <v>44</v>
      </c>
      <c r="J97" s="38">
        <f t="shared" si="32"/>
        <v>44</v>
      </c>
      <c r="K97" s="38">
        <f t="shared" si="32"/>
        <v>44</v>
      </c>
      <c r="L97" s="39" t="s">
        <v>50</v>
      </c>
      <c r="M97" s="284"/>
    </row>
    <row r="98" spans="1:13" ht="38.25" x14ac:dyDescent="0.25">
      <c r="A98" s="422"/>
      <c r="B98" s="427"/>
      <c r="C98" s="284" t="s">
        <v>134</v>
      </c>
      <c r="D98" s="279" t="s">
        <v>132</v>
      </c>
      <c r="E98" s="74">
        <v>0</v>
      </c>
      <c r="F98" s="74">
        <f>G98+H98+I98+J98+K98</f>
        <v>217.4</v>
      </c>
      <c r="G98" s="74">
        <f>12+32-2.6</f>
        <v>41.4</v>
      </c>
      <c r="H98" s="281">
        <v>44</v>
      </c>
      <c r="I98" s="74">
        <v>44</v>
      </c>
      <c r="J98" s="74">
        <v>44</v>
      </c>
      <c r="K98" s="74">
        <v>44</v>
      </c>
      <c r="L98" s="284" t="s">
        <v>50</v>
      </c>
      <c r="M98" s="284"/>
    </row>
    <row r="99" spans="1:13" ht="38.25" x14ac:dyDescent="0.25">
      <c r="A99" s="422"/>
      <c r="B99" s="427"/>
      <c r="C99" s="284" t="s">
        <v>134</v>
      </c>
      <c r="D99" s="279" t="s">
        <v>133</v>
      </c>
      <c r="E99" s="74">
        <v>0</v>
      </c>
      <c r="F99" s="74">
        <f>G99+H99+I99+J99+K99</f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284" t="s">
        <v>50</v>
      </c>
      <c r="M99" s="284"/>
    </row>
    <row r="100" spans="1:13" ht="38.25" x14ac:dyDescent="0.25">
      <c r="A100" s="423"/>
      <c r="B100" s="428"/>
      <c r="C100" s="284" t="s">
        <v>134</v>
      </c>
      <c r="D100" s="279" t="s">
        <v>51</v>
      </c>
      <c r="E100" s="74">
        <v>0</v>
      </c>
      <c r="F100" s="74">
        <f>G100+H100+I100+J100+K100</f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284" t="s">
        <v>50</v>
      </c>
      <c r="M100" s="284"/>
    </row>
    <row r="101" spans="1:13" ht="27.75" customHeight="1" x14ac:dyDescent="0.25">
      <c r="A101" s="421" t="s">
        <v>224</v>
      </c>
      <c r="B101" s="426" t="s">
        <v>363</v>
      </c>
      <c r="C101" s="284"/>
      <c r="D101" s="178" t="s">
        <v>49</v>
      </c>
      <c r="E101" s="38">
        <f t="shared" ref="E101:K101" si="33">E102+E103+E104</f>
        <v>0</v>
      </c>
      <c r="F101" s="38">
        <f t="shared" si="33"/>
        <v>300</v>
      </c>
      <c r="G101" s="38">
        <f t="shared" si="33"/>
        <v>100</v>
      </c>
      <c r="H101" s="38">
        <f t="shared" si="33"/>
        <v>50</v>
      </c>
      <c r="I101" s="38">
        <f t="shared" si="33"/>
        <v>50</v>
      </c>
      <c r="J101" s="38">
        <f t="shared" si="33"/>
        <v>50</v>
      </c>
      <c r="K101" s="38">
        <f t="shared" si="33"/>
        <v>50</v>
      </c>
      <c r="L101" s="39" t="s">
        <v>50</v>
      </c>
      <c r="M101" s="39"/>
    </row>
    <row r="102" spans="1:13" ht="38.25" x14ac:dyDescent="0.25">
      <c r="A102" s="422"/>
      <c r="B102" s="427"/>
      <c r="C102" s="284" t="s">
        <v>134</v>
      </c>
      <c r="D102" s="279" t="s">
        <v>132</v>
      </c>
      <c r="E102" s="74">
        <v>0</v>
      </c>
      <c r="F102" s="74">
        <f>G102+H102+I102+J102+K102</f>
        <v>300</v>
      </c>
      <c r="G102" s="74">
        <f>50+50</f>
        <v>100</v>
      </c>
      <c r="H102" s="281">
        <v>50</v>
      </c>
      <c r="I102" s="74">
        <v>50</v>
      </c>
      <c r="J102" s="74">
        <v>50</v>
      </c>
      <c r="K102" s="74">
        <v>50</v>
      </c>
      <c r="L102" s="284" t="s">
        <v>50</v>
      </c>
      <c r="M102" s="284"/>
    </row>
    <row r="103" spans="1:13" ht="38.25" x14ac:dyDescent="0.25">
      <c r="A103" s="422"/>
      <c r="B103" s="427"/>
      <c r="C103" s="284" t="s">
        <v>134</v>
      </c>
      <c r="D103" s="279" t="s">
        <v>133</v>
      </c>
      <c r="E103" s="74">
        <v>0</v>
      </c>
      <c r="F103" s="74">
        <f>G103+H103+I103+J103+K103</f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284" t="s">
        <v>50</v>
      </c>
      <c r="M103" s="284"/>
    </row>
    <row r="104" spans="1:13" ht="38.25" x14ac:dyDescent="0.25">
      <c r="A104" s="423"/>
      <c r="B104" s="428"/>
      <c r="C104" s="284" t="s">
        <v>134</v>
      </c>
      <c r="D104" s="279" t="s">
        <v>51</v>
      </c>
      <c r="E104" s="74">
        <v>0</v>
      </c>
      <c r="F104" s="74">
        <f>G104+H104+I104+J104+K104</f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284" t="s">
        <v>50</v>
      </c>
      <c r="M104" s="284"/>
    </row>
    <row r="105" spans="1:13" ht="26.25" customHeight="1" x14ac:dyDescent="0.25">
      <c r="A105" s="421" t="s">
        <v>225</v>
      </c>
      <c r="B105" s="426" t="s">
        <v>289</v>
      </c>
      <c r="C105" s="284"/>
      <c r="D105" s="178" t="s">
        <v>49</v>
      </c>
      <c r="E105" s="38">
        <f t="shared" ref="E105:K105" si="34">E106+E107+E108</f>
        <v>0</v>
      </c>
      <c r="F105" s="38">
        <f t="shared" si="34"/>
        <v>488.09999999999997</v>
      </c>
      <c r="G105" s="38">
        <f t="shared" si="34"/>
        <v>146</v>
      </c>
      <c r="H105" s="38">
        <f t="shared" si="34"/>
        <v>154</v>
      </c>
      <c r="I105" s="38">
        <f t="shared" si="34"/>
        <v>62.7</v>
      </c>
      <c r="J105" s="38">
        <f t="shared" si="34"/>
        <v>62.7</v>
      </c>
      <c r="K105" s="38">
        <f t="shared" si="34"/>
        <v>62.7</v>
      </c>
      <c r="L105" s="39" t="s">
        <v>50</v>
      </c>
      <c r="M105" s="39"/>
    </row>
    <row r="106" spans="1:13" ht="38.25" x14ac:dyDescent="0.25">
      <c r="A106" s="422"/>
      <c r="B106" s="427"/>
      <c r="C106" s="284" t="s">
        <v>134</v>
      </c>
      <c r="D106" s="279" t="s">
        <v>132</v>
      </c>
      <c r="E106" s="74">
        <v>0</v>
      </c>
      <c r="F106" s="74">
        <f>G106+H106+I106+J106+K106</f>
        <v>488.09999999999997</v>
      </c>
      <c r="G106" s="74">
        <f>50+96</f>
        <v>146</v>
      </c>
      <c r="H106" s="281">
        <v>154</v>
      </c>
      <c r="I106" s="74">
        <v>62.7</v>
      </c>
      <c r="J106" s="74">
        <v>62.7</v>
      </c>
      <c r="K106" s="74">
        <v>62.7</v>
      </c>
      <c r="L106" s="284" t="s">
        <v>50</v>
      </c>
      <c r="M106" s="284"/>
    </row>
    <row r="107" spans="1:13" ht="38.25" x14ac:dyDescent="0.25">
      <c r="A107" s="422"/>
      <c r="B107" s="427"/>
      <c r="C107" s="284" t="s">
        <v>134</v>
      </c>
      <c r="D107" s="279" t="s">
        <v>133</v>
      </c>
      <c r="E107" s="74">
        <v>0</v>
      </c>
      <c r="F107" s="74">
        <f>G107+H107+I107+J107+K107</f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284" t="s">
        <v>50</v>
      </c>
      <c r="M107" s="284"/>
    </row>
    <row r="108" spans="1:13" ht="38.25" x14ac:dyDescent="0.25">
      <c r="A108" s="423"/>
      <c r="B108" s="428"/>
      <c r="C108" s="284" t="s">
        <v>134</v>
      </c>
      <c r="D108" s="279" t="s">
        <v>51</v>
      </c>
      <c r="E108" s="74">
        <v>0</v>
      </c>
      <c r="F108" s="74">
        <f>G108+H108+I108+J108+K108</f>
        <v>0</v>
      </c>
      <c r="G108" s="74">
        <v>0</v>
      </c>
      <c r="H108" s="74">
        <v>0</v>
      </c>
      <c r="I108" s="74">
        <v>0</v>
      </c>
      <c r="J108" s="74">
        <v>0</v>
      </c>
      <c r="K108" s="74">
        <v>0</v>
      </c>
      <c r="L108" s="284" t="s">
        <v>50</v>
      </c>
      <c r="M108" s="284"/>
    </row>
    <row r="109" spans="1:13" ht="25.5" x14ac:dyDescent="0.25">
      <c r="A109" s="421" t="s">
        <v>226</v>
      </c>
      <c r="B109" s="426" t="s">
        <v>274</v>
      </c>
      <c r="C109" s="284"/>
      <c r="D109" s="178" t="s">
        <v>49</v>
      </c>
      <c r="E109" s="38">
        <f>E110+E111+E112</f>
        <v>0</v>
      </c>
      <c r="F109" s="38">
        <f t="shared" ref="F109:K109" si="35">F110</f>
        <v>89.2</v>
      </c>
      <c r="G109" s="38">
        <f t="shared" si="35"/>
        <v>45</v>
      </c>
      <c r="H109" s="276">
        <f t="shared" si="35"/>
        <v>44.2</v>
      </c>
      <c r="I109" s="38">
        <f t="shared" si="35"/>
        <v>0</v>
      </c>
      <c r="J109" s="38">
        <f t="shared" si="35"/>
        <v>0</v>
      </c>
      <c r="K109" s="38">
        <f t="shared" si="35"/>
        <v>0</v>
      </c>
      <c r="L109" s="39" t="s">
        <v>50</v>
      </c>
      <c r="M109" s="39"/>
    </row>
    <row r="110" spans="1:13" ht="38.25" x14ac:dyDescent="0.25">
      <c r="A110" s="422"/>
      <c r="B110" s="427"/>
      <c r="C110" s="284" t="s">
        <v>134</v>
      </c>
      <c r="D110" s="279" t="s">
        <v>132</v>
      </c>
      <c r="E110" s="74">
        <v>0</v>
      </c>
      <c r="F110" s="74">
        <f>G110+H110+I110+J110+K110</f>
        <v>89.2</v>
      </c>
      <c r="G110" s="74">
        <v>45</v>
      </c>
      <c r="H110" s="281">
        <f>44.2</f>
        <v>44.2</v>
      </c>
      <c r="I110" s="74">
        <v>0</v>
      </c>
      <c r="J110" s="74">
        <v>0</v>
      </c>
      <c r="K110" s="74">
        <v>0</v>
      </c>
      <c r="L110" s="284" t="s">
        <v>50</v>
      </c>
      <c r="M110" s="284"/>
    </row>
    <row r="111" spans="1:13" ht="38.25" x14ac:dyDescent="0.25">
      <c r="A111" s="422"/>
      <c r="B111" s="427"/>
      <c r="C111" s="284" t="s">
        <v>134</v>
      </c>
      <c r="D111" s="279" t="s">
        <v>133</v>
      </c>
      <c r="E111" s="74">
        <v>0</v>
      </c>
      <c r="F111" s="74">
        <f>G111+H111+I111+J111+K111</f>
        <v>0</v>
      </c>
      <c r="G111" s="74">
        <v>0</v>
      </c>
      <c r="H111" s="74">
        <v>0</v>
      </c>
      <c r="I111" s="74">
        <v>0</v>
      </c>
      <c r="J111" s="74">
        <v>0</v>
      </c>
      <c r="K111" s="74">
        <v>0</v>
      </c>
      <c r="L111" s="284" t="s">
        <v>50</v>
      </c>
      <c r="M111" s="284"/>
    </row>
    <row r="112" spans="1:13" ht="38.25" x14ac:dyDescent="0.25">
      <c r="A112" s="423"/>
      <c r="B112" s="428"/>
      <c r="C112" s="284" t="s">
        <v>134</v>
      </c>
      <c r="D112" s="279" t="s">
        <v>51</v>
      </c>
      <c r="E112" s="74">
        <v>0</v>
      </c>
      <c r="F112" s="74">
        <f>G112+H112+I112+J112+K112</f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284" t="s">
        <v>50</v>
      </c>
      <c r="M112" s="284"/>
    </row>
    <row r="113" spans="1:14" ht="25.5" x14ac:dyDescent="0.25">
      <c r="A113" s="421" t="s">
        <v>398</v>
      </c>
      <c r="B113" s="426" t="s">
        <v>268</v>
      </c>
      <c r="C113" s="284"/>
      <c r="D113" s="178" t="s">
        <v>49</v>
      </c>
      <c r="E113" s="38">
        <f>E114+E115+E116</f>
        <v>0</v>
      </c>
      <c r="F113" s="38">
        <f t="shared" ref="F113:K113" si="36">F114+F115+F116</f>
        <v>1095.5999999999999</v>
      </c>
      <c r="G113" s="38">
        <f t="shared" si="36"/>
        <v>0</v>
      </c>
      <c r="H113" s="38">
        <f t="shared" si="36"/>
        <v>0</v>
      </c>
      <c r="I113" s="38">
        <f t="shared" si="36"/>
        <v>365.2</v>
      </c>
      <c r="J113" s="38">
        <f t="shared" si="36"/>
        <v>365.2</v>
      </c>
      <c r="K113" s="38">
        <f t="shared" si="36"/>
        <v>365.2</v>
      </c>
      <c r="L113" s="39" t="s">
        <v>50</v>
      </c>
      <c r="M113" s="433"/>
    </row>
    <row r="114" spans="1:14" ht="38.25" x14ac:dyDescent="0.25">
      <c r="A114" s="422"/>
      <c r="B114" s="427"/>
      <c r="C114" s="284" t="s">
        <v>134</v>
      </c>
      <c r="D114" s="279" t="s">
        <v>132</v>
      </c>
      <c r="E114" s="74">
        <v>0</v>
      </c>
      <c r="F114" s="74">
        <f>G114+H114+I114+J114+K114</f>
        <v>1095.5999999999999</v>
      </c>
      <c r="G114" s="74">
        <v>0</v>
      </c>
      <c r="H114" s="74">
        <v>0</v>
      </c>
      <c r="I114" s="74">
        <v>365.2</v>
      </c>
      <c r="J114" s="74">
        <v>365.2</v>
      </c>
      <c r="K114" s="74">
        <v>365.2</v>
      </c>
      <c r="L114" s="284" t="s">
        <v>50</v>
      </c>
      <c r="M114" s="434"/>
    </row>
    <row r="115" spans="1:14" ht="38.25" x14ac:dyDescent="0.25">
      <c r="A115" s="422"/>
      <c r="B115" s="427"/>
      <c r="C115" s="284" t="s">
        <v>134</v>
      </c>
      <c r="D115" s="279" t="s">
        <v>133</v>
      </c>
      <c r="E115" s="74">
        <v>0</v>
      </c>
      <c r="F115" s="74">
        <f>G115+H115+I115+J115+K115</f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284" t="s">
        <v>50</v>
      </c>
      <c r="M115" s="434"/>
    </row>
    <row r="116" spans="1:14" ht="38.25" x14ac:dyDescent="0.25">
      <c r="A116" s="423"/>
      <c r="B116" s="428"/>
      <c r="C116" s="284" t="s">
        <v>134</v>
      </c>
      <c r="D116" s="279" t="s">
        <v>51</v>
      </c>
      <c r="E116" s="74">
        <v>0</v>
      </c>
      <c r="F116" s="74">
        <f>G116+H116+I116+J116+K116</f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284" t="s">
        <v>50</v>
      </c>
      <c r="M116" s="435"/>
    </row>
    <row r="117" spans="1:14" ht="25.5" x14ac:dyDescent="0.25">
      <c r="A117" s="421" t="s">
        <v>420</v>
      </c>
      <c r="B117" s="426" t="s">
        <v>577</v>
      </c>
      <c r="C117" s="284"/>
      <c r="D117" s="178" t="s">
        <v>49</v>
      </c>
      <c r="E117" s="38">
        <f>E118+E119+E120</f>
        <v>0</v>
      </c>
      <c r="F117" s="38">
        <f t="shared" ref="F117:K117" si="37">F118+F119+F120</f>
        <v>444</v>
      </c>
      <c r="G117" s="38">
        <f t="shared" si="37"/>
        <v>0</v>
      </c>
      <c r="H117" s="38">
        <f t="shared" si="37"/>
        <v>0</v>
      </c>
      <c r="I117" s="38">
        <f t="shared" si="37"/>
        <v>148</v>
      </c>
      <c r="J117" s="38">
        <f t="shared" si="37"/>
        <v>148</v>
      </c>
      <c r="K117" s="38">
        <f t="shared" si="37"/>
        <v>148</v>
      </c>
      <c r="L117" s="39" t="s">
        <v>50</v>
      </c>
      <c r="M117" s="433"/>
    </row>
    <row r="118" spans="1:14" ht="38.25" x14ac:dyDescent="0.25">
      <c r="A118" s="422"/>
      <c r="B118" s="427"/>
      <c r="C118" s="284" t="s">
        <v>134</v>
      </c>
      <c r="D118" s="279" t="s">
        <v>132</v>
      </c>
      <c r="E118" s="74">
        <v>0</v>
      </c>
      <c r="F118" s="74">
        <f>G118+H118+I118+J118+K118</f>
        <v>444</v>
      </c>
      <c r="G118" s="74">
        <v>0</v>
      </c>
      <c r="H118" s="74">
        <v>0</v>
      </c>
      <c r="I118" s="74">
        <v>148</v>
      </c>
      <c r="J118" s="74">
        <v>148</v>
      </c>
      <c r="K118" s="74">
        <v>148</v>
      </c>
      <c r="L118" s="284" t="s">
        <v>50</v>
      </c>
      <c r="M118" s="434"/>
    </row>
    <row r="119" spans="1:14" ht="38.25" x14ac:dyDescent="0.25">
      <c r="A119" s="422"/>
      <c r="B119" s="427"/>
      <c r="C119" s="284" t="s">
        <v>134</v>
      </c>
      <c r="D119" s="279" t="s">
        <v>133</v>
      </c>
      <c r="E119" s="74">
        <v>0</v>
      </c>
      <c r="F119" s="74">
        <f>G119+H119+I119+J119+K119</f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284" t="s">
        <v>50</v>
      </c>
      <c r="M119" s="434"/>
    </row>
    <row r="120" spans="1:14" ht="38.25" x14ac:dyDescent="0.25">
      <c r="A120" s="423"/>
      <c r="B120" s="428"/>
      <c r="C120" s="284" t="s">
        <v>134</v>
      </c>
      <c r="D120" s="279" t="s">
        <v>51</v>
      </c>
      <c r="E120" s="74">
        <v>0</v>
      </c>
      <c r="F120" s="74">
        <f>G120+H120+I120+J120+K120</f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284" t="s">
        <v>50</v>
      </c>
      <c r="M120" s="435"/>
    </row>
    <row r="121" spans="1:14" ht="25.5" x14ac:dyDescent="0.25">
      <c r="A121" s="421" t="s">
        <v>580</v>
      </c>
      <c r="B121" s="426" t="s">
        <v>270</v>
      </c>
      <c r="C121" s="284"/>
      <c r="D121" s="178" t="s">
        <v>49</v>
      </c>
      <c r="E121" s="38">
        <f>E122+E123+E124</f>
        <v>0</v>
      </c>
      <c r="F121" s="38">
        <f t="shared" ref="F121:K121" si="38">F122+F123+F124</f>
        <v>23.200000000000003</v>
      </c>
      <c r="G121" s="38">
        <f t="shared" si="38"/>
        <v>0</v>
      </c>
      <c r="H121" s="276">
        <f t="shared" si="38"/>
        <v>23.200000000000003</v>
      </c>
      <c r="I121" s="38">
        <f t="shared" si="38"/>
        <v>0</v>
      </c>
      <c r="J121" s="38">
        <f t="shared" si="38"/>
        <v>0</v>
      </c>
      <c r="K121" s="38">
        <f t="shared" si="38"/>
        <v>0</v>
      </c>
      <c r="L121" s="39" t="s">
        <v>50</v>
      </c>
      <c r="M121" s="433"/>
    </row>
    <row r="122" spans="1:14" ht="38.25" x14ac:dyDescent="0.25">
      <c r="A122" s="422"/>
      <c r="B122" s="427"/>
      <c r="C122" s="284" t="s">
        <v>134</v>
      </c>
      <c r="D122" s="279" t="s">
        <v>132</v>
      </c>
      <c r="E122" s="74">
        <v>0</v>
      </c>
      <c r="F122" s="74">
        <f>G122+H122+I122+J122+K122</f>
        <v>23.200000000000003</v>
      </c>
      <c r="G122" s="74">
        <v>0</v>
      </c>
      <c r="H122" s="281">
        <f>31.6-8.4</f>
        <v>23.200000000000003</v>
      </c>
      <c r="I122" s="74">
        <v>0</v>
      </c>
      <c r="J122" s="74">
        <v>0</v>
      </c>
      <c r="K122" s="74">
        <v>0</v>
      </c>
      <c r="L122" s="284" t="s">
        <v>50</v>
      </c>
      <c r="M122" s="434"/>
    </row>
    <row r="123" spans="1:14" ht="38.25" x14ac:dyDescent="0.25">
      <c r="A123" s="422"/>
      <c r="B123" s="427"/>
      <c r="C123" s="284" t="s">
        <v>134</v>
      </c>
      <c r="D123" s="279" t="s">
        <v>133</v>
      </c>
      <c r="E123" s="74">
        <v>0</v>
      </c>
      <c r="F123" s="74">
        <f>G123+H123+I123+J123+K123</f>
        <v>0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  <c r="L123" s="284" t="s">
        <v>50</v>
      </c>
      <c r="M123" s="434"/>
    </row>
    <row r="124" spans="1:14" ht="38.25" x14ac:dyDescent="0.25">
      <c r="A124" s="423"/>
      <c r="B124" s="428"/>
      <c r="C124" s="284" t="s">
        <v>134</v>
      </c>
      <c r="D124" s="279" t="s">
        <v>51</v>
      </c>
      <c r="E124" s="74">
        <v>0</v>
      </c>
      <c r="F124" s="74">
        <f>G124+H124+I124+J124+K124</f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284" t="s">
        <v>50</v>
      </c>
      <c r="M124" s="435"/>
    </row>
    <row r="125" spans="1:14" ht="39" customHeight="1" x14ac:dyDescent="0.25">
      <c r="A125" s="296"/>
      <c r="B125" s="296"/>
      <c r="C125" s="95"/>
      <c r="D125" s="32" t="s">
        <v>53</v>
      </c>
      <c r="E125" s="75">
        <f>E33+E89+E93+E97+E101+E105</f>
        <v>0</v>
      </c>
      <c r="F125" s="75">
        <f>G125+H125+I125+J125+K125</f>
        <v>91015.400000000023</v>
      </c>
      <c r="G125" s="75">
        <f>G33+G89+G93+G97+G101+G105+G110</f>
        <v>22285.300000000007</v>
      </c>
      <c r="H125" s="75">
        <f>H33+H89+H93+H97+H101+H105+H110+H114+H118+H122</f>
        <v>17298.900000000001</v>
      </c>
      <c r="I125" s="75">
        <f>I33+I89+I93+I97+I101+I105+I110+I114+I118</f>
        <v>17036.800000000003</v>
      </c>
      <c r="J125" s="75">
        <f>J33+J89+J93+J97+J101+J105+J110+J114+J118</f>
        <v>17090.100000000002</v>
      </c>
      <c r="K125" s="75">
        <f>K33+K89+K93+K97+K101+K105+K110+K114+K118</f>
        <v>17304.300000000003</v>
      </c>
      <c r="L125" s="80"/>
      <c r="M125" s="80"/>
    </row>
    <row r="126" spans="1:14" ht="42" customHeight="1" x14ac:dyDescent="0.25">
      <c r="A126" s="296"/>
      <c r="B126" s="296"/>
      <c r="C126" s="95"/>
      <c r="D126" s="32" t="s">
        <v>145</v>
      </c>
      <c r="E126" s="75">
        <f t="shared" ref="E126:K128" si="39">E30</f>
        <v>0</v>
      </c>
      <c r="F126" s="75">
        <f t="shared" si="39"/>
        <v>89650.700000000012</v>
      </c>
      <c r="G126" s="75">
        <f t="shared" si="39"/>
        <v>20920.600000000006</v>
      </c>
      <c r="H126" s="75">
        <f t="shared" si="39"/>
        <v>17298.900000000001</v>
      </c>
      <c r="I126" s="75">
        <f t="shared" si="39"/>
        <v>17036.800000000003</v>
      </c>
      <c r="J126" s="75">
        <f t="shared" si="39"/>
        <v>17090.100000000002</v>
      </c>
      <c r="K126" s="75">
        <f t="shared" si="39"/>
        <v>17304.300000000003</v>
      </c>
      <c r="L126" s="67"/>
      <c r="M126" s="67"/>
      <c r="N126" s="17"/>
    </row>
    <row r="127" spans="1:14" ht="34.5" customHeight="1" x14ac:dyDescent="0.25">
      <c r="A127" s="296"/>
      <c r="B127" s="296"/>
      <c r="C127" s="95"/>
      <c r="D127" s="42" t="s">
        <v>146</v>
      </c>
      <c r="E127" s="43">
        <f t="shared" si="39"/>
        <v>0</v>
      </c>
      <c r="F127" s="43">
        <f>F31</f>
        <v>1364.7</v>
      </c>
      <c r="G127" s="43">
        <f t="shared" si="39"/>
        <v>1364.7</v>
      </c>
      <c r="H127" s="43">
        <f>H31</f>
        <v>0</v>
      </c>
      <c r="I127" s="43">
        <f t="shared" si="39"/>
        <v>0</v>
      </c>
      <c r="J127" s="43">
        <f t="shared" si="39"/>
        <v>0</v>
      </c>
      <c r="K127" s="43">
        <f t="shared" si="39"/>
        <v>0</v>
      </c>
      <c r="L127" s="71"/>
      <c r="M127" s="71"/>
    </row>
    <row r="128" spans="1:14" ht="42" customHeight="1" x14ac:dyDescent="0.25">
      <c r="A128" s="296"/>
      <c r="B128" s="296"/>
      <c r="C128" s="95"/>
      <c r="D128" s="45" t="s">
        <v>55</v>
      </c>
      <c r="E128" s="46">
        <f t="shared" si="39"/>
        <v>0</v>
      </c>
      <c r="F128" s="46">
        <f t="shared" si="39"/>
        <v>0</v>
      </c>
      <c r="G128" s="46">
        <f t="shared" si="39"/>
        <v>0</v>
      </c>
      <c r="H128" s="46">
        <f t="shared" si="39"/>
        <v>0</v>
      </c>
      <c r="I128" s="46">
        <f t="shared" si="39"/>
        <v>0</v>
      </c>
      <c r="J128" s="46">
        <f t="shared" si="39"/>
        <v>0</v>
      </c>
      <c r="K128" s="46">
        <f t="shared" si="39"/>
        <v>0</v>
      </c>
      <c r="L128" s="40"/>
      <c r="M128" s="40"/>
    </row>
    <row r="129" spans="1:13" ht="34.5" customHeight="1" x14ac:dyDescent="0.25">
      <c r="A129" s="432" t="s">
        <v>101</v>
      </c>
      <c r="B129" s="432"/>
      <c r="C129" s="432"/>
      <c r="D129" s="432"/>
      <c r="E129" s="432"/>
      <c r="F129" s="432"/>
      <c r="G129" s="432"/>
      <c r="H129" s="432"/>
      <c r="I129" s="432"/>
      <c r="J129" s="432"/>
      <c r="K129" s="432"/>
      <c r="L129" s="432"/>
      <c r="M129" s="432"/>
    </row>
    <row r="130" spans="1:13" ht="28.5" customHeight="1" x14ac:dyDescent="0.25">
      <c r="A130" s="442" t="s">
        <v>211</v>
      </c>
      <c r="B130" s="436" t="s">
        <v>123</v>
      </c>
      <c r="C130" s="72"/>
      <c r="D130" s="32" t="s">
        <v>49</v>
      </c>
      <c r="E130" s="75">
        <f>E131+E132+E133</f>
        <v>0</v>
      </c>
      <c r="F130" s="75">
        <f t="shared" ref="F130:K130" si="40">F131+F132+F133</f>
        <v>362990.37000000005</v>
      </c>
      <c r="G130" s="75">
        <f t="shared" si="40"/>
        <v>63580.97</v>
      </c>
      <c r="H130" s="75">
        <f t="shared" si="40"/>
        <v>69978.900000000009</v>
      </c>
      <c r="I130" s="75">
        <f t="shared" si="40"/>
        <v>68139.7</v>
      </c>
      <c r="J130" s="75">
        <f t="shared" si="40"/>
        <v>78500.60000000002</v>
      </c>
      <c r="K130" s="75">
        <f t="shared" si="40"/>
        <v>82790.200000000012</v>
      </c>
      <c r="L130" s="34"/>
      <c r="M130" s="34"/>
    </row>
    <row r="131" spans="1:13" ht="45" customHeight="1" x14ac:dyDescent="0.25">
      <c r="A131" s="443"/>
      <c r="B131" s="437"/>
      <c r="C131" s="80"/>
      <c r="D131" s="83" t="s">
        <v>132</v>
      </c>
      <c r="E131" s="35">
        <v>0</v>
      </c>
      <c r="F131" s="35">
        <f t="shared" ref="F131:K133" si="41">F135+F187</f>
        <v>359249.87000000005</v>
      </c>
      <c r="G131" s="35">
        <f t="shared" si="41"/>
        <v>59840.47</v>
      </c>
      <c r="H131" s="35">
        <f t="shared" si="41"/>
        <v>69978.900000000009</v>
      </c>
      <c r="I131" s="35">
        <f t="shared" si="41"/>
        <v>68139.7</v>
      </c>
      <c r="J131" s="35">
        <f t="shared" si="41"/>
        <v>78500.60000000002</v>
      </c>
      <c r="K131" s="35">
        <f t="shared" si="41"/>
        <v>82790.200000000012</v>
      </c>
      <c r="L131" s="67"/>
      <c r="M131" s="34"/>
    </row>
    <row r="132" spans="1:13" ht="40.5" customHeight="1" x14ac:dyDescent="0.25">
      <c r="A132" s="443"/>
      <c r="B132" s="437"/>
      <c r="C132" s="80"/>
      <c r="D132" s="90" t="s">
        <v>133</v>
      </c>
      <c r="E132" s="91">
        <f>E136+E188</f>
        <v>0</v>
      </c>
      <c r="F132" s="91">
        <f t="shared" si="41"/>
        <v>3740.5</v>
      </c>
      <c r="G132" s="91">
        <f t="shared" si="41"/>
        <v>3740.5</v>
      </c>
      <c r="H132" s="91">
        <f t="shared" si="41"/>
        <v>0</v>
      </c>
      <c r="I132" s="91">
        <f t="shared" si="41"/>
        <v>0</v>
      </c>
      <c r="J132" s="91">
        <f t="shared" si="41"/>
        <v>0</v>
      </c>
      <c r="K132" s="91">
        <f t="shared" si="41"/>
        <v>0</v>
      </c>
      <c r="L132" s="71"/>
      <c r="M132" s="71"/>
    </row>
    <row r="133" spans="1:13" ht="43.5" customHeight="1" x14ac:dyDescent="0.25">
      <c r="A133" s="444"/>
      <c r="B133" s="438"/>
      <c r="C133" s="80"/>
      <c r="D133" s="86" t="s">
        <v>51</v>
      </c>
      <c r="E133" s="41">
        <f>E137+E189</f>
        <v>0</v>
      </c>
      <c r="F133" s="41">
        <f t="shared" si="41"/>
        <v>0</v>
      </c>
      <c r="G133" s="41">
        <f t="shared" si="41"/>
        <v>0</v>
      </c>
      <c r="H133" s="41">
        <f t="shared" si="41"/>
        <v>0</v>
      </c>
      <c r="I133" s="41">
        <f t="shared" si="41"/>
        <v>0</v>
      </c>
      <c r="J133" s="41">
        <f t="shared" si="41"/>
        <v>0</v>
      </c>
      <c r="K133" s="41">
        <f t="shared" si="41"/>
        <v>0</v>
      </c>
      <c r="L133" s="40"/>
      <c r="M133" s="40"/>
    </row>
    <row r="134" spans="1:13" ht="29.25" customHeight="1" x14ac:dyDescent="0.25">
      <c r="A134" s="439" t="s">
        <v>71</v>
      </c>
      <c r="B134" s="429" t="s">
        <v>166</v>
      </c>
      <c r="C134" s="136"/>
      <c r="D134" s="137" t="s">
        <v>49</v>
      </c>
      <c r="E134" s="138">
        <f t="shared" ref="E134:K134" si="42">E135+E136+E137</f>
        <v>0</v>
      </c>
      <c r="F134" s="138">
        <f t="shared" si="42"/>
        <v>345814.74000000005</v>
      </c>
      <c r="G134" s="138">
        <f t="shared" si="42"/>
        <v>61717.24</v>
      </c>
      <c r="H134" s="138">
        <f t="shared" si="42"/>
        <v>66842.200000000012</v>
      </c>
      <c r="I134" s="138">
        <f t="shared" si="42"/>
        <v>66774.8</v>
      </c>
      <c r="J134" s="138">
        <f t="shared" si="42"/>
        <v>72809.900000000023</v>
      </c>
      <c r="K134" s="138">
        <f t="shared" si="42"/>
        <v>77670.600000000006</v>
      </c>
      <c r="L134" s="139" t="s">
        <v>50</v>
      </c>
      <c r="M134" s="139"/>
    </row>
    <row r="135" spans="1:13" ht="45" customHeight="1" x14ac:dyDescent="0.25">
      <c r="A135" s="440"/>
      <c r="B135" s="430"/>
      <c r="C135" s="136" t="s">
        <v>134</v>
      </c>
      <c r="D135" s="140" t="s">
        <v>132</v>
      </c>
      <c r="E135" s="141">
        <f t="shared" ref="E135:F137" si="43">E139+E143+E147+E151+E155+E159+E163+E167+E171+E175+E179</f>
        <v>0</v>
      </c>
      <c r="F135" s="141">
        <f t="shared" si="43"/>
        <v>342074.24000000005</v>
      </c>
      <c r="G135" s="141">
        <f>G139+G143+G147+G151+G155+G159+G163+G167+G171+G175+G179</f>
        <v>57976.74</v>
      </c>
      <c r="H135" s="141">
        <f>H139+H143+H147+H151+H155+H159+H163+H167+H171+H175+H179</f>
        <v>66842.200000000012</v>
      </c>
      <c r="I135" s="141">
        <f>I139+I143+I147+I151+I155+I159+I163+I167+I171+I175+I179</f>
        <v>66774.8</v>
      </c>
      <c r="J135" s="141">
        <f>J139+J143+J147+J151+J155+J159+J163+J167+J171+J175+J179</f>
        <v>72809.900000000023</v>
      </c>
      <c r="K135" s="141">
        <f>K139+K143+K147+K151+K155+K159+K163+K167+K171+K175+K179</f>
        <v>77670.600000000006</v>
      </c>
      <c r="L135" s="136" t="s">
        <v>50</v>
      </c>
      <c r="M135" s="136"/>
    </row>
    <row r="136" spans="1:13" ht="35.25" customHeight="1" x14ac:dyDescent="0.25">
      <c r="A136" s="440"/>
      <c r="B136" s="430"/>
      <c r="C136" s="136" t="s">
        <v>134</v>
      </c>
      <c r="D136" s="140" t="s">
        <v>133</v>
      </c>
      <c r="E136" s="141">
        <f t="shared" ref="E136:K136" si="44">E140+E144+E148+E152+E156+E160+E164+E168+E172+E176+E180+E184</f>
        <v>0</v>
      </c>
      <c r="F136" s="141">
        <f t="shared" si="44"/>
        <v>3740.5</v>
      </c>
      <c r="G136" s="141">
        <f t="shared" si="44"/>
        <v>3740.5</v>
      </c>
      <c r="H136" s="141">
        <f t="shared" si="44"/>
        <v>0</v>
      </c>
      <c r="I136" s="141">
        <f t="shared" si="44"/>
        <v>0</v>
      </c>
      <c r="J136" s="141">
        <f t="shared" si="44"/>
        <v>0</v>
      </c>
      <c r="K136" s="141">
        <f t="shared" si="44"/>
        <v>0</v>
      </c>
      <c r="L136" s="136" t="s">
        <v>50</v>
      </c>
      <c r="M136" s="136"/>
    </row>
    <row r="137" spans="1:13" ht="42.75" customHeight="1" x14ac:dyDescent="0.25">
      <c r="A137" s="441"/>
      <c r="B137" s="431"/>
      <c r="C137" s="136" t="s">
        <v>134</v>
      </c>
      <c r="D137" s="140" t="s">
        <v>51</v>
      </c>
      <c r="E137" s="141">
        <f t="shared" si="43"/>
        <v>0</v>
      </c>
      <c r="F137" s="141">
        <f t="shared" si="43"/>
        <v>0</v>
      </c>
      <c r="G137" s="141">
        <f>G141+G145+G149+G153+G157+G161+G165+G169+G173+G177+G181</f>
        <v>0</v>
      </c>
      <c r="H137" s="141">
        <f>H141+H145+H149+H153+H157+H161+H165+H169+H173+H177+H181</f>
        <v>0</v>
      </c>
      <c r="I137" s="141">
        <f>I141+I145+I149+I153+I157+I161+I165+I169+I173+I177+I181</f>
        <v>0</v>
      </c>
      <c r="J137" s="141">
        <f>J141+J145+J149+J153+J157+J161+J165+J169+J173+J177+J181</f>
        <v>0</v>
      </c>
      <c r="K137" s="141">
        <f>K141+K145+K149+K153+K157+K161+K165+K169+K173+K177+K181</f>
        <v>0</v>
      </c>
      <c r="L137" s="136" t="s">
        <v>50</v>
      </c>
      <c r="M137" s="136"/>
    </row>
    <row r="138" spans="1:13" ht="31.5" customHeight="1" x14ac:dyDescent="0.25">
      <c r="A138" s="421" t="s">
        <v>62</v>
      </c>
      <c r="B138" s="426" t="s">
        <v>296</v>
      </c>
      <c r="C138" s="176"/>
      <c r="D138" s="178" t="s">
        <v>49</v>
      </c>
      <c r="E138" s="38">
        <f t="shared" ref="E138:K138" si="45">E139+E140+E141</f>
        <v>0</v>
      </c>
      <c r="F138" s="38">
        <f t="shared" si="45"/>
        <v>297398.34000000003</v>
      </c>
      <c r="G138" s="38">
        <f t="shared" si="45"/>
        <v>50646.74</v>
      </c>
      <c r="H138" s="38">
        <f t="shared" si="45"/>
        <v>60583.100000000006</v>
      </c>
      <c r="I138" s="38">
        <f t="shared" si="45"/>
        <v>60626.3</v>
      </c>
      <c r="J138" s="38">
        <f t="shared" si="45"/>
        <v>60626.3</v>
      </c>
      <c r="K138" s="38">
        <f t="shared" si="45"/>
        <v>64915.9</v>
      </c>
      <c r="L138" s="39" t="s">
        <v>50</v>
      </c>
      <c r="M138" s="179"/>
    </row>
    <row r="139" spans="1:13" ht="45" customHeight="1" x14ac:dyDescent="0.25">
      <c r="A139" s="422"/>
      <c r="B139" s="427"/>
      <c r="C139" s="176" t="s">
        <v>134</v>
      </c>
      <c r="D139" s="84" t="s">
        <v>132</v>
      </c>
      <c r="E139" s="74">
        <v>0</v>
      </c>
      <c r="F139" s="74">
        <f>G139+H139+I139+J139+K139</f>
        <v>297398.34000000003</v>
      </c>
      <c r="G139" s="74">
        <f>51110-395-0.76-67.5</f>
        <v>50646.74</v>
      </c>
      <c r="H139" s="281">
        <f>64915.9-4289.6-43.2</f>
        <v>60583.100000000006</v>
      </c>
      <c r="I139" s="74">
        <f>64915.9-4289.6</f>
        <v>60626.3</v>
      </c>
      <c r="J139" s="74">
        <f>64915.9-4289.6</f>
        <v>60626.3</v>
      </c>
      <c r="K139" s="74">
        <v>64915.9</v>
      </c>
      <c r="L139" s="176" t="s">
        <v>50</v>
      </c>
      <c r="M139" s="179"/>
    </row>
    <row r="140" spans="1:13" ht="39.75" customHeight="1" x14ac:dyDescent="0.25">
      <c r="A140" s="422"/>
      <c r="B140" s="427"/>
      <c r="C140" s="176" t="s">
        <v>134</v>
      </c>
      <c r="D140" s="84" t="s">
        <v>133</v>
      </c>
      <c r="E140" s="74">
        <v>0</v>
      </c>
      <c r="F140" s="74">
        <f>G140+H140+I140+J140+K140</f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176" t="s">
        <v>50</v>
      </c>
      <c r="M140" s="179"/>
    </row>
    <row r="141" spans="1:13" ht="40.5" customHeight="1" x14ac:dyDescent="0.25">
      <c r="A141" s="423"/>
      <c r="B141" s="428"/>
      <c r="C141" s="176" t="s">
        <v>134</v>
      </c>
      <c r="D141" s="84" t="s">
        <v>51</v>
      </c>
      <c r="E141" s="74">
        <v>0</v>
      </c>
      <c r="F141" s="74">
        <f>G141+H141+I141+J141+K141</f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176" t="s">
        <v>50</v>
      </c>
      <c r="M141" s="176"/>
    </row>
    <row r="142" spans="1:13" ht="40.5" customHeight="1" x14ac:dyDescent="0.25">
      <c r="A142" s="421" t="s">
        <v>64</v>
      </c>
      <c r="B142" s="426" t="s">
        <v>322</v>
      </c>
      <c r="C142" s="176"/>
      <c r="D142" s="178" t="s">
        <v>49</v>
      </c>
      <c r="E142" s="38">
        <f>E143+E144+E145</f>
        <v>0</v>
      </c>
      <c r="F142" s="38">
        <f t="shared" ref="F142:K142" si="46">F143+F144+F145</f>
        <v>3633</v>
      </c>
      <c r="G142" s="38">
        <f t="shared" si="46"/>
        <v>3633</v>
      </c>
      <c r="H142" s="38">
        <f t="shared" si="46"/>
        <v>0</v>
      </c>
      <c r="I142" s="38">
        <f t="shared" si="46"/>
        <v>0</v>
      </c>
      <c r="J142" s="38">
        <f t="shared" si="46"/>
        <v>0</v>
      </c>
      <c r="K142" s="38">
        <f t="shared" si="46"/>
        <v>0</v>
      </c>
      <c r="L142" s="39" t="s">
        <v>50</v>
      </c>
      <c r="M142" s="39"/>
    </row>
    <row r="143" spans="1:13" ht="40.5" customHeight="1" x14ac:dyDescent="0.25">
      <c r="A143" s="422"/>
      <c r="B143" s="427"/>
      <c r="C143" s="176" t="s">
        <v>134</v>
      </c>
      <c r="D143" s="84" t="s">
        <v>132</v>
      </c>
      <c r="E143" s="74">
        <v>0</v>
      </c>
      <c r="F143" s="74">
        <f>G143+H143+I143+J143+K143</f>
        <v>462.5</v>
      </c>
      <c r="G143" s="74">
        <f>395+67.5</f>
        <v>462.5</v>
      </c>
      <c r="H143" s="74">
        <v>0</v>
      </c>
      <c r="I143" s="74">
        <v>0</v>
      </c>
      <c r="J143" s="74">
        <v>0</v>
      </c>
      <c r="K143" s="74">
        <v>0</v>
      </c>
      <c r="L143" s="176" t="s">
        <v>50</v>
      </c>
      <c r="M143" s="176"/>
    </row>
    <row r="144" spans="1:13" ht="40.5" customHeight="1" x14ac:dyDescent="0.25">
      <c r="A144" s="422"/>
      <c r="B144" s="427"/>
      <c r="C144" s="176" t="s">
        <v>134</v>
      </c>
      <c r="D144" s="84" t="s">
        <v>133</v>
      </c>
      <c r="E144" s="74">
        <v>0</v>
      </c>
      <c r="F144" s="74">
        <f>G144+H144+I144+J144+K144</f>
        <v>3170.5</v>
      </c>
      <c r="G144" s="74">
        <f>1888+1282.5</f>
        <v>3170.5</v>
      </c>
      <c r="H144" s="74">
        <v>0</v>
      </c>
      <c r="I144" s="74">
        <v>0</v>
      </c>
      <c r="J144" s="74">
        <v>0</v>
      </c>
      <c r="K144" s="74">
        <v>0</v>
      </c>
      <c r="L144" s="176" t="s">
        <v>50</v>
      </c>
      <c r="M144" s="176"/>
    </row>
    <row r="145" spans="1:13" ht="40.5" customHeight="1" x14ac:dyDescent="0.25">
      <c r="A145" s="423"/>
      <c r="B145" s="428"/>
      <c r="C145" s="176" t="s">
        <v>134</v>
      </c>
      <c r="D145" s="84" t="s">
        <v>51</v>
      </c>
      <c r="E145" s="74">
        <v>0</v>
      </c>
      <c r="F145" s="74">
        <f>G145+H145+I145+J145+K145</f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176" t="s">
        <v>50</v>
      </c>
      <c r="M145" s="176"/>
    </row>
    <row r="146" spans="1:13" ht="32.25" customHeight="1" x14ac:dyDescent="0.25">
      <c r="A146" s="421" t="s">
        <v>215</v>
      </c>
      <c r="B146" s="426" t="s">
        <v>299</v>
      </c>
      <c r="C146" s="176"/>
      <c r="D146" s="178" t="s">
        <v>49</v>
      </c>
      <c r="E146" s="38">
        <f>E147+E148+E149</f>
        <v>0</v>
      </c>
      <c r="F146" s="38">
        <f t="shared" ref="F146:K146" si="47">F147+F148+F149</f>
        <v>10469.200000000001</v>
      </c>
      <c r="G146" s="38">
        <f t="shared" si="47"/>
        <v>1915</v>
      </c>
      <c r="H146" s="38">
        <f t="shared" si="47"/>
        <v>2096.6</v>
      </c>
      <c r="I146" s="38">
        <f t="shared" si="47"/>
        <v>2096.6</v>
      </c>
      <c r="J146" s="38">
        <f t="shared" si="47"/>
        <v>2180.5</v>
      </c>
      <c r="K146" s="38">
        <f t="shared" si="47"/>
        <v>2180.5</v>
      </c>
      <c r="L146" s="39" t="s">
        <v>50</v>
      </c>
      <c r="M146" s="433"/>
    </row>
    <row r="147" spans="1:13" ht="42.75" customHeight="1" x14ac:dyDescent="0.25">
      <c r="A147" s="422"/>
      <c r="B147" s="427"/>
      <c r="C147" s="176" t="s">
        <v>134</v>
      </c>
      <c r="D147" s="84" t="s">
        <v>132</v>
      </c>
      <c r="E147" s="74">
        <v>0</v>
      </c>
      <c r="F147" s="74">
        <f>G147+H147+I147+J147+K147</f>
        <v>10469.200000000001</v>
      </c>
      <c r="G147" s="74">
        <v>1915</v>
      </c>
      <c r="H147" s="281">
        <v>2096.6</v>
      </c>
      <c r="I147" s="74">
        <v>2096.6</v>
      </c>
      <c r="J147" s="74">
        <v>2180.5</v>
      </c>
      <c r="K147" s="74">
        <v>2180.5</v>
      </c>
      <c r="L147" s="176" t="s">
        <v>50</v>
      </c>
      <c r="M147" s="434"/>
    </row>
    <row r="148" spans="1:13" ht="39.75" customHeight="1" x14ac:dyDescent="0.25">
      <c r="A148" s="422"/>
      <c r="B148" s="427"/>
      <c r="C148" s="176" t="s">
        <v>134</v>
      </c>
      <c r="D148" s="84" t="s">
        <v>133</v>
      </c>
      <c r="E148" s="74">
        <v>0</v>
      </c>
      <c r="F148" s="74">
        <f>G148+H148+I148+J148+K148</f>
        <v>0</v>
      </c>
      <c r="G148" s="74">
        <v>0</v>
      </c>
      <c r="H148" s="74">
        <v>0</v>
      </c>
      <c r="I148" s="74">
        <v>0</v>
      </c>
      <c r="J148" s="74">
        <v>0</v>
      </c>
      <c r="K148" s="74">
        <v>0</v>
      </c>
      <c r="L148" s="176" t="s">
        <v>50</v>
      </c>
      <c r="M148" s="434"/>
    </row>
    <row r="149" spans="1:13" ht="42.75" customHeight="1" x14ac:dyDescent="0.25">
      <c r="A149" s="423"/>
      <c r="B149" s="428"/>
      <c r="C149" s="176" t="s">
        <v>134</v>
      </c>
      <c r="D149" s="84" t="s">
        <v>51</v>
      </c>
      <c r="E149" s="74">
        <v>0</v>
      </c>
      <c r="F149" s="74">
        <f>G149+H149+I149+J149+K149</f>
        <v>0</v>
      </c>
      <c r="G149" s="74">
        <v>0</v>
      </c>
      <c r="H149" s="74">
        <v>0</v>
      </c>
      <c r="I149" s="74">
        <v>0</v>
      </c>
      <c r="J149" s="74">
        <v>0</v>
      </c>
      <c r="K149" s="74">
        <v>0</v>
      </c>
      <c r="L149" s="176" t="s">
        <v>50</v>
      </c>
      <c r="M149" s="435"/>
    </row>
    <row r="150" spans="1:13" ht="31.5" customHeight="1" x14ac:dyDescent="0.25">
      <c r="A150" s="421" t="s">
        <v>276</v>
      </c>
      <c r="B150" s="426" t="s">
        <v>302</v>
      </c>
      <c r="C150" s="176"/>
      <c r="D150" s="178" t="s">
        <v>49</v>
      </c>
      <c r="E150" s="38">
        <f>E151+E152+E153</f>
        <v>0</v>
      </c>
      <c r="F150" s="38">
        <f t="shared" ref="F150:K150" si="48">F151+F152+F153</f>
        <v>9026.4</v>
      </c>
      <c r="G150" s="38">
        <f t="shared" si="48"/>
        <v>1270.1000000000001</v>
      </c>
      <c r="H150" s="38">
        <f t="shared" si="48"/>
        <v>443.9</v>
      </c>
      <c r="I150" s="38">
        <f t="shared" si="48"/>
        <v>605.20000000000005</v>
      </c>
      <c r="J150" s="38">
        <f t="shared" si="48"/>
        <v>3353.6</v>
      </c>
      <c r="K150" s="38">
        <f t="shared" si="48"/>
        <v>3353.6</v>
      </c>
      <c r="L150" s="39" t="s">
        <v>50</v>
      </c>
      <c r="M150" s="433"/>
    </row>
    <row r="151" spans="1:13" ht="42.75" customHeight="1" x14ac:dyDescent="0.25">
      <c r="A151" s="422"/>
      <c r="B151" s="427"/>
      <c r="C151" s="176" t="s">
        <v>134</v>
      </c>
      <c r="D151" s="84" t="s">
        <v>132</v>
      </c>
      <c r="E151" s="74">
        <v>0</v>
      </c>
      <c r="F151" s="74">
        <f>G151+H151+I151+J151+K151</f>
        <v>9026.4</v>
      </c>
      <c r="G151" s="74">
        <f>2265.8-50-945.7</f>
        <v>1270.1000000000001</v>
      </c>
      <c r="H151" s="281">
        <v>443.9</v>
      </c>
      <c r="I151" s="74">
        <v>605.20000000000005</v>
      </c>
      <c r="J151" s="74">
        <v>3353.6</v>
      </c>
      <c r="K151" s="74">
        <v>3353.6</v>
      </c>
      <c r="L151" s="176" t="s">
        <v>50</v>
      </c>
      <c r="M151" s="434"/>
    </row>
    <row r="152" spans="1:13" ht="42.75" customHeight="1" x14ac:dyDescent="0.25">
      <c r="A152" s="422"/>
      <c r="B152" s="427"/>
      <c r="C152" s="176" t="s">
        <v>134</v>
      </c>
      <c r="D152" s="84" t="s">
        <v>133</v>
      </c>
      <c r="E152" s="74">
        <v>0</v>
      </c>
      <c r="F152" s="74">
        <f>G152+H152+I152+J152+K152</f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176" t="s">
        <v>50</v>
      </c>
      <c r="M152" s="434"/>
    </row>
    <row r="153" spans="1:13" ht="42.75" customHeight="1" x14ac:dyDescent="0.25">
      <c r="A153" s="423"/>
      <c r="B153" s="428"/>
      <c r="C153" s="176" t="s">
        <v>134</v>
      </c>
      <c r="D153" s="84" t="s">
        <v>51</v>
      </c>
      <c r="E153" s="74">
        <v>0</v>
      </c>
      <c r="F153" s="74">
        <f>G153+H153+I153+J153+K153</f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176" t="s">
        <v>50</v>
      </c>
      <c r="M153" s="435"/>
    </row>
    <row r="154" spans="1:13" ht="42.75" customHeight="1" x14ac:dyDescent="0.25">
      <c r="A154" s="421" t="s">
        <v>277</v>
      </c>
      <c r="B154" s="426" t="s">
        <v>307</v>
      </c>
      <c r="C154" s="176"/>
      <c r="D154" s="178" t="s">
        <v>49</v>
      </c>
      <c r="E154" s="38">
        <f>E155+E156+E157</f>
        <v>0</v>
      </c>
      <c r="F154" s="38">
        <f t="shared" ref="F154:K154" si="49">F155+F156+F157</f>
        <v>665.9</v>
      </c>
      <c r="G154" s="38">
        <f t="shared" si="49"/>
        <v>33.900000000000006</v>
      </c>
      <c r="H154" s="38">
        <f t="shared" si="49"/>
        <v>158</v>
      </c>
      <c r="I154" s="38">
        <f t="shared" si="49"/>
        <v>158</v>
      </c>
      <c r="J154" s="38">
        <f t="shared" si="49"/>
        <v>158</v>
      </c>
      <c r="K154" s="38">
        <f t="shared" si="49"/>
        <v>158</v>
      </c>
      <c r="L154" s="39" t="s">
        <v>50</v>
      </c>
      <c r="M154" s="433"/>
    </row>
    <row r="155" spans="1:13" ht="42.75" customHeight="1" x14ac:dyDescent="0.25">
      <c r="A155" s="422"/>
      <c r="B155" s="427"/>
      <c r="C155" s="176" t="s">
        <v>134</v>
      </c>
      <c r="D155" s="84" t="s">
        <v>132</v>
      </c>
      <c r="E155" s="74">
        <v>0</v>
      </c>
      <c r="F155" s="74">
        <f>G155+H155+I155+J155+K155</f>
        <v>665.9</v>
      </c>
      <c r="G155" s="74">
        <f>158-124.1</f>
        <v>33.900000000000006</v>
      </c>
      <c r="H155" s="281">
        <v>158</v>
      </c>
      <c r="I155" s="74">
        <v>158</v>
      </c>
      <c r="J155" s="74">
        <v>158</v>
      </c>
      <c r="K155" s="74">
        <v>158</v>
      </c>
      <c r="L155" s="176" t="s">
        <v>50</v>
      </c>
      <c r="M155" s="434"/>
    </row>
    <row r="156" spans="1:13" ht="42.75" customHeight="1" x14ac:dyDescent="0.25">
      <c r="A156" s="422"/>
      <c r="B156" s="427"/>
      <c r="C156" s="176" t="s">
        <v>134</v>
      </c>
      <c r="D156" s="84" t="s">
        <v>133</v>
      </c>
      <c r="E156" s="74">
        <v>0</v>
      </c>
      <c r="F156" s="74">
        <f>G156+H156+I156+J156+K156</f>
        <v>0</v>
      </c>
      <c r="G156" s="74">
        <v>0</v>
      </c>
      <c r="H156" s="74">
        <v>0</v>
      </c>
      <c r="I156" s="74">
        <v>0</v>
      </c>
      <c r="J156" s="74">
        <v>0</v>
      </c>
      <c r="K156" s="74">
        <v>0</v>
      </c>
      <c r="L156" s="176" t="s">
        <v>50</v>
      </c>
      <c r="M156" s="434"/>
    </row>
    <row r="157" spans="1:13" ht="42.75" customHeight="1" x14ac:dyDescent="0.25">
      <c r="A157" s="423"/>
      <c r="B157" s="428"/>
      <c r="C157" s="176" t="s">
        <v>134</v>
      </c>
      <c r="D157" s="84" t="s">
        <v>51</v>
      </c>
      <c r="E157" s="74">
        <v>0</v>
      </c>
      <c r="F157" s="74">
        <f>G157+H157+I157+J157+K157</f>
        <v>0</v>
      </c>
      <c r="G157" s="74">
        <v>0</v>
      </c>
      <c r="H157" s="74">
        <v>0</v>
      </c>
      <c r="I157" s="74">
        <v>0</v>
      </c>
      <c r="J157" s="74">
        <v>0</v>
      </c>
      <c r="K157" s="74">
        <v>0</v>
      </c>
      <c r="L157" s="176" t="s">
        <v>50</v>
      </c>
      <c r="M157" s="435"/>
    </row>
    <row r="158" spans="1:13" ht="42.75" customHeight="1" x14ac:dyDescent="0.25">
      <c r="A158" s="421" t="s">
        <v>278</v>
      </c>
      <c r="B158" s="426" t="s">
        <v>274</v>
      </c>
      <c r="C158" s="176"/>
      <c r="D158" s="178" t="s">
        <v>49</v>
      </c>
      <c r="E158" s="38">
        <f>E159+E160+E161</f>
        <v>0</v>
      </c>
      <c r="F158" s="38">
        <f t="shared" ref="F158:K158" si="50">F159+F160+F161</f>
        <v>6937.5999999999995</v>
      </c>
      <c r="G158" s="38">
        <f t="shared" si="50"/>
        <v>842.9</v>
      </c>
      <c r="H158" s="38">
        <f t="shared" si="50"/>
        <v>657.3</v>
      </c>
      <c r="I158" s="38">
        <f t="shared" si="50"/>
        <v>1622.1</v>
      </c>
      <c r="J158" s="38">
        <f t="shared" si="50"/>
        <v>1622.1</v>
      </c>
      <c r="K158" s="38">
        <f t="shared" si="50"/>
        <v>2193.1999999999998</v>
      </c>
      <c r="L158" s="39" t="s">
        <v>50</v>
      </c>
      <c r="M158" s="433"/>
    </row>
    <row r="159" spans="1:13" ht="42.75" customHeight="1" x14ac:dyDescent="0.25">
      <c r="A159" s="422"/>
      <c r="B159" s="427"/>
      <c r="C159" s="176" t="s">
        <v>134</v>
      </c>
      <c r="D159" s="84" t="s">
        <v>132</v>
      </c>
      <c r="E159" s="74">
        <v>0</v>
      </c>
      <c r="F159" s="74">
        <f>G159+H159+I159+J159+K159</f>
        <v>6937.5999999999995</v>
      </c>
      <c r="G159" s="74">
        <f>1083-240.1</f>
        <v>842.9</v>
      </c>
      <c r="H159" s="281">
        <v>657.3</v>
      </c>
      <c r="I159" s="74">
        <v>1622.1</v>
      </c>
      <c r="J159" s="74">
        <v>1622.1</v>
      </c>
      <c r="K159" s="74">
        <v>2193.1999999999998</v>
      </c>
      <c r="L159" s="176" t="s">
        <v>50</v>
      </c>
      <c r="M159" s="434"/>
    </row>
    <row r="160" spans="1:13" ht="42.75" customHeight="1" x14ac:dyDescent="0.25">
      <c r="A160" s="422"/>
      <c r="B160" s="427"/>
      <c r="C160" s="176" t="s">
        <v>134</v>
      </c>
      <c r="D160" s="84" t="s">
        <v>133</v>
      </c>
      <c r="E160" s="74">
        <v>0</v>
      </c>
      <c r="F160" s="74">
        <f>G160+H160+I160+J160+K160</f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176" t="s">
        <v>50</v>
      </c>
      <c r="M160" s="434"/>
    </row>
    <row r="161" spans="1:13" ht="42.75" customHeight="1" x14ac:dyDescent="0.25">
      <c r="A161" s="423"/>
      <c r="B161" s="428"/>
      <c r="C161" s="176" t="s">
        <v>134</v>
      </c>
      <c r="D161" s="84" t="s">
        <v>51</v>
      </c>
      <c r="E161" s="74">
        <v>0</v>
      </c>
      <c r="F161" s="74">
        <f>G161+H161+I161+J161+K161</f>
        <v>0</v>
      </c>
      <c r="G161" s="74">
        <v>0</v>
      </c>
      <c r="H161" s="74">
        <v>0</v>
      </c>
      <c r="I161" s="74">
        <v>0</v>
      </c>
      <c r="J161" s="74">
        <v>0</v>
      </c>
      <c r="K161" s="74">
        <v>0</v>
      </c>
      <c r="L161" s="176" t="s">
        <v>50</v>
      </c>
      <c r="M161" s="435"/>
    </row>
    <row r="162" spans="1:13" ht="42.75" customHeight="1" x14ac:dyDescent="0.25">
      <c r="A162" s="421" t="s">
        <v>279</v>
      </c>
      <c r="B162" s="426" t="s">
        <v>267</v>
      </c>
      <c r="C162" s="176"/>
      <c r="D162" s="178" t="s">
        <v>49</v>
      </c>
      <c r="E162" s="38">
        <f>E163+E164+E165</f>
        <v>0</v>
      </c>
      <c r="F162" s="38">
        <f t="shared" ref="F162:K162" si="51">F163+F164+F165</f>
        <v>4779.8</v>
      </c>
      <c r="G162" s="38">
        <f t="shared" si="51"/>
        <v>947.4</v>
      </c>
      <c r="H162" s="38">
        <f t="shared" si="51"/>
        <v>958.1</v>
      </c>
      <c r="I162" s="38">
        <f t="shared" si="51"/>
        <v>958.1</v>
      </c>
      <c r="J162" s="38">
        <f t="shared" si="51"/>
        <v>958.1</v>
      </c>
      <c r="K162" s="38">
        <f t="shared" si="51"/>
        <v>958.1</v>
      </c>
      <c r="L162" s="39" t="s">
        <v>50</v>
      </c>
      <c r="M162" s="433"/>
    </row>
    <row r="163" spans="1:13" ht="42.75" customHeight="1" x14ac:dyDescent="0.25">
      <c r="A163" s="422"/>
      <c r="B163" s="427"/>
      <c r="C163" s="176" t="s">
        <v>134</v>
      </c>
      <c r="D163" s="84" t="s">
        <v>132</v>
      </c>
      <c r="E163" s="74">
        <v>0</v>
      </c>
      <c r="F163" s="74">
        <f>G163+H163+I163+J163+K163</f>
        <v>4779.8</v>
      </c>
      <c r="G163" s="74">
        <f>1300-352.6</f>
        <v>947.4</v>
      </c>
      <c r="H163" s="281">
        <v>958.1</v>
      </c>
      <c r="I163" s="74">
        <v>958.1</v>
      </c>
      <c r="J163" s="74">
        <v>958.1</v>
      </c>
      <c r="K163" s="74">
        <v>958.1</v>
      </c>
      <c r="L163" s="176" t="s">
        <v>50</v>
      </c>
      <c r="M163" s="434"/>
    </row>
    <row r="164" spans="1:13" ht="42.75" customHeight="1" x14ac:dyDescent="0.25">
      <c r="A164" s="422"/>
      <c r="B164" s="427"/>
      <c r="C164" s="176" t="s">
        <v>134</v>
      </c>
      <c r="D164" s="84" t="s">
        <v>133</v>
      </c>
      <c r="E164" s="74">
        <v>0</v>
      </c>
      <c r="F164" s="74">
        <f>G164+H164+I164+J164+K164</f>
        <v>0</v>
      </c>
      <c r="G164" s="74">
        <v>0</v>
      </c>
      <c r="H164" s="74">
        <v>0</v>
      </c>
      <c r="I164" s="74">
        <v>0</v>
      </c>
      <c r="J164" s="74">
        <v>0</v>
      </c>
      <c r="K164" s="74">
        <v>0</v>
      </c>
      <c r="L164" s="176" t="s">
        <v>50</v>
      </c>
      <c r="M164" s="434"/>
    </row>
    <row r="165" spans="1:13" ht="42.75" customHeight="1" x14ac:dyDescent="0.25">
      <c r="A165" s="423"/>
      <c r="B165" s="428"/>
      <c r="C165" s="176" t="s">
        <v>134</v>
      </c>
      <c r="D165" s="84" t="s">
        <v>51</v>
      </c>
      <c r="E165" s="74">
        <v>0</v>
      </c>
      <c r="F165" s="74">
        <f>G165+H165+I165+J165+K165</f>
        <v>0</v>
      </c>
      <c r="G165" s="74">
        <v>0</v>
      </c>
      <c r="H165" s="74">
        <v>0</v>
      </c>
      <c r="I165" s="74">
        <v>0</v>
      </c>
      <c r="J165" s="74">
        <v>0</v>
      </c>
      <c r="K165" s="74">
        <v>0</v>
      </c>
      <c r="L165" s="176" t="s">
        <v>50</v>
      </c>
      <c r="M165" s="435"/>
    </row>
    <row r="166" spans="1:13" ht="42.75" customHeight="1" x14ac:dyDescent="0.25">
      <c r="A166" s="421" t="s">
        <v>280</v>
      </c>
      <c r="B166" s="426" t="s">
        <v>268</v>
      </c>
      <c r="C166" s="176"/>
      <c r="D166" s="178" t="s">
        <v>49</v>
      </c>
      <c r="E166" s="38">
        <f>E167+E168+E169</f>
        <v>0</v>
      </c>
      <c r="F166" s="38">
        <f t="shared" ref="F166:K166" si="52">F167+F168+F169</f>
        <v>0</v>
      </c>
      <c r="G166" s="38">
        <f t="shared" si="52"/>
        <v>0</v>
      </c>
      <c r="H166" s="38">
        <f t="shared" si="52"/>
        <v>0</v>
      </c>
      <c r="I166" s="38">
        <f t="shared" si="52"/>
        <v>0</v>
      </c>
      <c r="J166" s="38">
        <f t="shared" si="52"/>
        <v>0</v>
      </c>
      <c r="K166" s="38">
        <f t="shared" si="52"/>
        <v>0</v>
      </c>
      <c r="L166" s="39" t="s">
        <v>50</v>
      </c>
      <c r="M166" s="433"/>
    </row>
    <row r="167" spans="1:13" ht="42.75" customHeight="1" x14ac:dyDescent="0.25">
      <c r="A167" s="422"/>
      <c r="B167" s="427"/>
      <c r="C167" s="176" t="s">
        <v>134</v>
      </c>
      <c r="D167" s="84" t="s">
        <v>132</v>
      </c>
      <c r="E167" s="74">
        <v>0</v>
      </c>
      <c r="F167" s="74">
        <f>G167+H167+I167+J167+K167</f>
        <v>0</v>
      </c>
      <c r="G167" s="74">
        <v>0</v>
      </c>
      <c r="H167" s="74">
        <v>0</v>
      </c>
      <c r="I167" s="74">
        <v>0</v>
      </c>
      <c r="J167" s="74">
        <v>0</v>
      </c>
      <c r="K167" s="74">
        <v>0</v>
      </c>
      <c r="L167" s="176" t="s">
        <v>50</v>
      </c>
      <c r="M167" s="434"/>
    </row>
    <row r="168" spans="1:13" ht="42.75" customHeight="1" x14ac:dyDescent="0.25">
      <c r="A168" s="422"/>
      <c r="B168" s="427"/>
      <c r="C168" s="176" t="s">
        <v>134</v>
      </c>
      <c r="D168" s="84" t="s">
        <v>133</v>
      </c>
      <c r="E168" s="74">
        <v>0</v>
      </c>
      <c r="F168" s="74">
        <f>G168+H168+I168+J168+K168</f>
        <v>0</v>
      </c>
      <c r="G168" s="74">
        <v>0</v>
      </c>
      <c r="H168" s="74">
        <v>0</v>
      </c>
      <c r="I168" s="74">
        <v>0</v>
      </c>
      <c r="J168" s="74">
        <v>0</v>
      </c>
      <c r="K168" s="74">
        <v>0</v>
      </c>
      <c r="L168" s="176" t="s">
        <v>50</v>
      </c>
      <c r="M168" s="434"/>
    </row>
    <row r="169" spans="1:13" ht="42.75" customHeight="1" x14ac:dyDescent="0.25">
      <c r="A169" s="423"/>
      <c r="B169" s="428"/>
      <c r="C169" s="176" t="s">
        <v>134</v>
      </c>
      <c r="D169" s="84" t="s">
        <v>51</v>
      </c>
      <c r="E169" s="74">
        <v>0</v>
      </c>
      <c r="F169" s="74">
        <f>G169+H169+I169+J169+K169</f>
        <v>0</v>
      </c>
      <c r="G169" s="74">
        <v>0</v>
      </c>
      <c r="H169" s="74">
        <v>0</v>
      </c>
      <c r="I169" s="74">
        <v>0</v>
      </c>
      <c r="J169" s="74">
        <v>0</v>
      </c>
      <c r="K169" s="74">
        <v>0</v>
      </c>
      <c r="L169" s="176" t="s">
        <v>50</v>
      </c>
      <c r="M169" s="435"/>
    </row>
    <row r="170" spans="1:13" ht="42.75" customHeight="1" x14ac:dyDescent="0.25">
      <c r="A170" s="421" t="s">
        <v>281</v>
      </c>
      <c r="B170" s="426" t="s">
        <v>269</v>
      </c>
      <c r="C170" s="176"/>
      <c r="D170" s="178" t="s">
        <v>49</v>
      </c>
      <c r="E170" s="38">
        <f>E171+E172+E173</f>
        <v>0</v>
      </c>
      <c r="F170" s="38">
        <f t="shared" ref="F170:K170" si="53">F171+F172+F173</f>
        <v>55.5</v>
      </c>
      <c r="G170" s="38">
        <f t="shared" si="53"/>
        <v>0</v>
      </c>
      <c r="H170" s="38">
        <f t="shared" si="53"/>
        <v>0</v>
      </c>
      <c r="I170" s="38">
        <f t="shared" si="53"/>
        <v>18.5</v>
      </c>
      <c r="J170" s="38">
        <f t="shared" si="53"/>
        <v>18.5</v>
      </c>
      <c r="K170" s="38">
        <f t="shared" si="53"/>
        <v>18.5</v>
      </c>
      <c r="L170" s="39" t="s">
        <v>50</v>
      </c>
      <c r="M170" s="433"/>
    </row>
    <row r="171" spans="1:13" ht="42.75" customHeight="1" x14ac:dyDescent="0.25">
      <c r="A171" s="422"/>
      <c r="B171" s="427"/>
      <c r="C171" s="176" t="s">
        <v>134</v>
      </c>
      <c r="D171" s="84" t="s">
        <v>132</v>
      </c>
      <c r="E171" s="74">
        <v>0</v>
      </c>
      <c r="F171" s="74">
        <f>G171+H171+I171+J171+K171</f>
        <v>55.5</v>
      </c>
      <c r="G171" s="74">
        <v>0</v>
      </c>
      <c r="H171" s="74">
        <v>0</v>
      </c>
      <c r="I171" s="74">
        <v>18.5</v>
      </c>
      <c r="J171" s="74">
        <v>18.5</v>
      </c>
      <c r="K171" s="74">
        <v>18.5</v>
      </c>
      <c r="L171" s="176" t="s">
        <v>50</v>
      </c>
      <c r="M171" s="434"/>
    </row>
    <row r="172" spans="1:13" ht="42.75" customHeight="1" x14ac:dyDescent="0.25">
      <c r="A172" s="422"/>
      <c r="B172" s="427"/>
      <c r="C172" s="176" t="s">
        <v>134</v>
      </c>
      <c r="D172" s="84" t="s">
        <v>133</v>
      </c>
      <c r="E172" s="74">
        <v>0</v>
      </c>
      <c r="F172" s="74">
        <f>G172+H172+I172+J172+K172</f>
        <v>0</v>
      </c>
      <c r="G172" s="74">
        <v>0</v>
      </c>
      <c r="H172" s="74">
        <v>0</v>
      </c>
      <c r="I172" s="74">
        <v>0</v>
      </c>
      <c r="J172" s="74">
        <v>0</v>
      </c>
      <c r="K172" s="74">
        <v>0</v>
      </c>
      <c r="L172" s="176" t="s">
        <v>50</v>
      </c>
      <c r="M172" s="434"/>
    </row>
    <row r="173" spans="1:13" ht="42.75" customHeight="1" x14ac:dyDescent="0.25">
      <c r="A173" s="423"/>
      <c r="B173" s="428"/>
      <c r="C173" s="176" t="s">
        <v>134</v>
      </c>
      <c r="D173" s="84" t="s">
        <v>51</v>
      </c>
      <c r="E173" s="74">
        <v>0</v>
      </c>
      <c r="F173" s="74">
        <f>G173+H173+I173+J173+K173</f>
        <v>0</v>
      </c>
      <c r="G173" s="74">
        <v>0</v>
      </c>
      <c r="H173" s="74">
        <v>0</v>
      </c>
      <c r="I173" s="74">
        <v>0</v>
      </c>
      <c r="J173" s="74">
        <v>0</v>
      </c>
      <c r="K173" s="74">
        <v>0</v>
      </c>
      <c r="L173" s="176" t="s">
        <v>50</v>
      </c>
      <c r="M173" s="435"/>
    </row>
    <row r="174" spans="1:13" ht="42.75" customHeight="1" x14ac:dyDescent="0.25">
      <c r="A174" s="421" t="s">
        <v>282</v>
      </c>
      <c r="B174" s="426" t="s">
        <v>270</v>
      </c>
      <c r="C174" s="176"/>
      <c r="D174" s="178" t="s">
        <v>49</v>
      </c>
      <c r="E174" s="38">
        <f>E175+E176+E177</f>
        <v>0</v>
      </c>
      <c r="F174" s="38">
        <f t="shared" ref="F174:K174" si="54">F175+F176+F177</f>
        <v>4108.3999999999996</v>
      </c>
      <c r="G174" s="38">
        <f t="shared" si="54"/>
        <v>585.19999999999993</v>
      </c>
      <c r="H174" s="38">
        <f t="shared" si="54"/>
        <v>493.2</v>
      </c>
      <c r="I174" s="38">
        <f t="shared" si="54"/>
        <v>690</v>
      </c>
      <c r="J174" s="38">
        <f t="shared" si="54"/>
        <v>1170</v>
      </c>
      <c r="K174" s="38">
        <f t="shared" si="54"/>
        <v>1170</v>
      </c>
      <c r="L174" s="39" t="s">
        <v>50</v>
      </c>
      <c r="M174" s="433"/>
    </row>
    <row r="175" spans="1:13" ht="42.75" customHeight="1" x14ac:dyDescent="0.25">
      <c r="A175" s="422"/>
      <c r="B175" s="427"/>
      <c r="C175" s="176" t="s">
        <v>134</v>
      </c>
      <c r="D175" s="84" t="s">
        <v>132</v>
      </c>
      <c r="E175" s="74">
        <v>0</v>
      </c>
      <c r="F175" s="74">
        <f>G175+H175+I175+J175+K175</f>
        <v>4108.3999999999996</v>
      </c>
      <c r="G175" s="74">
        <f>690+50.5-140.2-15.1</f>
        <v>585.19999999999993</v>
      </c>
      <c r="H175" s="281">
        <v>493.2</v>
      </c>
      <c r="I175" s="74">
        <v>690</v>
      </c>
      <c r="J175" s="74">
        <v>1170</v>
      </c>
      <c r="K175" s="74">
        <v>1170</v>
      </c>
      <c r="L175" s="176" t="s">
        <v>50</v>
      </c>
      <c r="M175" s="434"/>
    </row>
    <row r="176" spans="1:13" ht="42.75" customHeight="1" x14ac:dyDescent="0.25">
      <c r="A176" s="422"/>
      <c r="B176" s="427"/>
      <c r="C176" s="176" t="s">
        <v>134</v>
      </c>
      <c r="D176" s="84" t="s">
        <v>133</v>
      </c>
      <c r="E176" s="74">
        <v>0</v>
      </c>
      <c r="F176" s="74">
        <f>G176+H176+I176+J176+K176</f>
        <v>0</v>
      </c>
      <c r="G176" s="74">
        <v>0</v>
      </c>
      <c r="H176" s="74">
        <v>0</v>
      </c>
      <c r="I176" s="74">
        <v>0</v>
      </c>
      <c r="J176" s="74">
        <v>0</v>
      </c>
      <c r="K176" s="74">
        <v>0</v>
      </c>
      <c r="L176" s="176" t="s">
        <v>50</v>
      </c>
      <c r="M176" s="434"/>
    </row>
    <row r="177" spans="1:13" ht="42.75" customHeight="1" x14ac:dyDescent="0.25">
      <c r="A177" s="423"/>
      <c r="B177" s="428"/>
      <c r="C177" s="176" t="s">
        <v>134</v>
      </c>
      <c r="D177" s="84" t="s">
        <v>51</v>
      </c>
      <c r="E177" s="74">
        <v>0</v>
      </c>
      <c r="F177" s="74">
        <f>G177+H177+I177+J177+K177</f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176" t="s">
        <v>50</v>
      </c>
      <c r="M177" s="435"/>
    </row>
    <row r="178" spans="1:13" ht="42.75" customHeight="1" x14ac:dyDescent="0.25">
      <c r="A178" s="421" t="s">
        <v>283</v>
      </c>
      <c r="B178" s="426" t="s">
        <v>44</v>
      </c>
      <c r="C178" s="176"/>
      <c r="D178" s="178" t="s">
        <v>49</v>
      </c>
      <c r="E178" s="38">
        <f t="shared" ref="E178:K178" si="55">E179+E180+E181</f>
        <v>0</v>
      </c>
      <c r="F178" s="38">
        <f t="shared" si="55"/>
        <v>8170.6</v>
      </c>
      <c r="G178" s="38">
        <f t="shared" si="55"/>
        <v>1273</v>
      </c>
      <c r="H178" s="38">
        <f t="shared" si="55"/>
        <v>1452</v>
      </c>
      <c r="I178" s="38">
        <f t="shared" si="55"/>
        <v>0</v>
      </c>
      <c r="J178" s="38">
        <f t="shared" si="55"/>
        <v>2722.8</v>
      </c>
      <c r="K178" s="38">
        <f t="shared" si="55"/>
        <v>2722.8</v>
      </c>
      <c r="L178" s="39" t="s">
        <v>50</v>
      </c>
      <c r="M178" s="433"/>
    </row>
    <row r="179" spans="1:13" ht="42.75" customHeight="1" x14ac:dyDescent="0.25">
      <c r="A179" s="422"/>
      <c r="B179" s="427"/>
      <c r="C179" s="176" t="s">
        <v>134</v>
      </c>
      <c r="D179" s="84" t="s">
        <v>132</v>
      </c>
      <c r="E179" s="74">
        <v>0</v>
      </c>
      <c r="F179" s="74">
        <f>G179+H179+I179+J179+K179</f>
        <v>8170.6</v>
      </c>
      <c r="G179" s="74">
        <f>1500-200-27</f>
        <v>1273</v>
      </c>
      <c r="H179" s="281">
        <v>1452</v>
      </c>
      <c r="I179" s="74">
        <v>0</v>
      </c>
      <c r="J179" s="74">
        <v>2722.8</v>
      </c>
      <c r="K179" s="74">
        <v>2722.8</v>
      </c>
      <c r="L179" s="176" t="s">
        <v>50</v>
      </c>
      <c r="M179" s="434"/>
    </row>
    <row r="180" spans="1:13" ht="42.75" customHeight="1" x14ac:dyDescent="0.25">
      <c r="A180" s="422"/>
      <c r="B180" s="427"/>
      <c r="C180" s="176" t="s">
        <v>134</v>
      </c>
      <c r="D180" s="84" t="s">
        <v>133</v>
      </c>
      <c r="E180" s="74">
        <v>0</v>
      </c>
      <c r="F180" s="74">
        <f>G180+H180+I180+J180+K180</f>
        <v>0</v>
      </c>
      <c r="G180" s="74">
        <v>0</v>
      </c>
      <c r="H180" s="74">
        <v>0</v>
      </c>
      <c r="I180" s="74">
        <v>0</v>
      </c>
      <c r="J180" s="74">
        <v>0</v>
      </c>
      <c r="K180" s="74">
        <v>0</v>
      </c>
      <c r="L180" s="176" t="s">
        <v>50</v>
      </c>
      <c r="M180" s="434"/>
    </row>
    <row r="181" spans="1:13" ht="42.75" customHeight="1" x14ac:dyDescent="0.25">
      <c r="A181" s="423"/>
      <c r="B181" s="428"/>
      <c r="C181" s="176" t="s">
        <v>134</v>
      </c>
      <c r="D181" s="84" t="s">
        <v>51</v>
      </c>
      <c r="E181" s="74">
        <v>0</v>
      </c>
      <c r="F181" s="74">
        <f>G181+H181+I181+J181+K181</f>
        <v>0</v>
      </c>
      <c r="G181" s="74">
        <v>0</v>
      </c>
      <c r="H181" s="74">
        <v>0</v>
      </c>
      <c r="I181" s="74">
        <v>0</v>
      </c>
      <c r="J181" s="74">
        <v>0</v>
      </c>
      <c r="K181" s="74">
        <v>0</v>
      </c>
      <c r="L181" s="176" t="s">
        <v>50</v>
      </c>
      <c r="M181" s="435"/>
    </row>
    <row r="182" spans="1:13" ht="42.75" customHeight="1" x14ac:dyDescent="0.25">
      <c r="A182" s="206" t="s">
        <v>290</v>
      </c>
      <c r="B182" s="426" t="s">
        <v>390</v>
      </c>
      <c r="C182" s="209"/>
      <c r="D182" s="178" t="s">
        <v>49</v>
      </c>
      <c r="E182" s="38">
        <f t="shared" ref="E182:K182" si="56">E183+E184+E185</f>
        <v>0</v>
      </c>
      <c r="F182" s="38">
        <f t="shared" si="56"/>
        <v>570</v>
      </c>
      <c r="G182" s="38">
        <f t="shared" si="56"/>
        <v>570</v>
      </c>
      <c r="H182" s="38">
        <f t="shared" si="56"/>
        <v>0</v>
      </c>
      <c r="I182" s="38">
        <f t="shared" si="56"/>
        <v>0</v>
      </c>
      <c r="J182" s="38">
        <f t="shared" si="56"/>
        <v>0</v>
      </c>
      <c r="K182" s="38">
        <f t="shared" si="56"/>
        <v>0</v>
      </c>
      <c r="L182" s="39" t="s">
        <v>50</v>
      </c>
      <c r="M182" s="433"/>
    </row>
    <row r="183" spans="1:13" ht="42.75" customHeight="1" x14ac:dyDescent="0.25">
      <c r="A183" s="206"/>
      <c r="B183" s="427"/>
      <c r="C183" s="209" t="s">
        <v>134</v>
      </c>
      <c r="D183" s="84" t="s">
        <v>132</v>
      </c>
      <c r="E183" s="74">
        <v>0</v>
      </c>
      <c r="F183" s="74">
        <f>G183+H183+I183+J183+K183</f>
        <v>0</v>
      </c>
      <c r="G183" s="74">
        <v>0</v>
      </c>
      <c r="H183" s="74">
        <v>0</v>
      </c>
      <c r="I183" s="74">
        <v>0</v>
      </c>
      <c r="J183" s="74">
        <v>0</v>
      </c>
      <c r="K183" s="74">
        <v>0</v>
      </c>
      <c r="L183" s="209" t="s">
        <v>50</v>
      </c>
      <c r="M183" s="434"/>
    </row>
    <row r="184" spans="1:13" ht="42.75" customHeight="1" x14ac:dyDescent="0.25">
      <c r="A184" s="206"/>
      <c r="B184" s="427"/>
      <c r="C184" s="209" t="s">
        <v>134</v>
      </c>
      <c r="D184" s="84" t="s">
        <v>133</v>
      </c>
      <c r="E184" s="74">
        <v>0</v>
      </c>
      <c r="F184" s="74">
        <f>G184+H184+I184+J184+K184</f>
        <v>570</v>
      </c>
      <c r="G184" s="74">
        <v>570</v>
      </c>
      <c r="H184" s="74">
        <v>0</v>
      </c>
      <c r="I184" s="74">
        <v>0</v>
      </c>
      <c r="J184" s="74">
        <v>0</v>
      </c>
      <c r="K184" s="74">
        <v>0</v>
      </c>
      <c r="L184" s="209" t="s">
        <v>50</v>
      </c>
      <c r="M184" s="434"/>
    </row>
    <row r="185" spans="1:13" ht="42.75" customHeight="1" x14ac:dyDescent="0.25">
      <c r="A185" s="206"/>
      <c r="B185" s="428"/>
      <c r="C185" s="209" t="s">
        <v>134</v>
      </c>
      <c r="D185" s="84" t="s">
        <v>51</v>
      </c>
      <c r="E185" s="74">
        <v>0</v>
      </c>
      <c r="F185" s="74">
        <f>G185+H185+I185+J185+K185</f>
        <v>0</v>
      </c>
      <c r="G185" s="74">
        <v>0</v>
      </c>
      <c r="H185" s="74">
        <v>0</v>
      </c>
      <c r="I185" s="74">
        <v>0</v>
      </c>
      <c r="J185" s="74">
        <v>0</v>
      </c>
      <c r="K185" s="74">
        <v>0</v>
      </c>
      <c r="L185" s="209" t="s">
        <v>50</v>
      </c>
      <c r="M185" s="435"/>
    </row>
    <row r="186" spans="1:13" ht="31.5" customHeight="1" x14ac:dyDescent="0.25">
      <c r="A186" s="439" t="s">
        <v>66</v>
      </c>
      <c r="B186" s="429" t="s">
        <v>227</v>
      </c>
      <c r="C186" s="136"/>
      <c r="D186" s="137" t="s">
        <v>49</v>
      </c>
      <c r="E186" s="138">
        <f>E187+E188+E189</f>
        <v>0</v>
      </c>
      <c r="F186" s="138">
        <f t="shared" ref="F186:K186" si="57">F187+F188+F189</f>
        <v>17175.63</v>
      </c>
      <c r="G186" s="138">
        <f t="shared" si="57"/>
        <v>1863.73</v>
      </c>
      <c r="H186" s="138">
        <f t="shared" si="57"/>
        <v>3136.7</v>
      </c>
      <c r="I186" s="138">
        <f t="shared" si="57"/>
        <v>1364.9</v>
      </c>
      <c r="J186" s="138">
        <f t="shared" si="57"/>
        <v>5690.7000000000007</v>
      </c>
      <c r="K186" s="138">
        <f t="shared" si="57"/>
        <v>5119.6000000000004</v>
      </c>
      <c r="L186" s="139" t="s">
        <v>50</v>
      </c>
      <c r="M186" s="139"/>
    </row>
    <row r="187" spans="1:13" ht="42.75" customHeight="1" x14ac:dyDescent="0.25">
      <c r="A187" s="440"/>
      <c r="B187" s="430"/>
      <c r="C187" s="136" t="s">
        <v>134</v>
      </c>
      <c r="D187" s="140" t="s">
        <v>132</v>
      </c>
      <c r="E187" s="141">
        <f t="shared" ref="E187:K187" si="58">E191+E195+E199+E203+E207+E211</f>
        <v>0</v>
      </c>
      <c r="F187" s="141">
        <f t="shared" si="58"/>
        <v>17175.63</v>
      </c>
      <c r="G187" s="141">
        <f t="shared" si="58"/>
        <v>1863.73</v>
      </c>
      <c r="H187" s="141">
        <f t="shared" si="58"/>
        <v>3136.7</v>
      </c>
      <c r="I187" s="141">
        <f t="shared" si="58"/>
        <v>1364.9</v>
      </c>
      <c r="J187" s="141">
        <f t="shared" si="58"/>
        <v>5690.7000000000007</v>
      </c>
      <c r="K187" s="141">
        <f t="shared" si="58"/>
        <v>5119.6000000000004</v>
      </c>
      <c r="L187" s="136" t="s">
        <v>50</v>
      </c>
      <c r="M187" s="136"/>
    </row>
    <row r="188" spans="1:13" ht="42.75" customHeight="1" x14ac:dyDescent="0.25">
      <c r="A188" s="440"/>
      <c r="B188" s="430"/>
      <c r="C188" s="136" t="s">
        <v>134</v>
      </c>
      <c r="D188" s="140" t="s">
        <v>133</v>
      </c>
      <c r="E188" s="141">
        <v>0</v>
      </c>
      <c r="F188" s="141">
        <f>G188+H188+I188+J188+K188</f>
        <v>0</v>
      </c>
      <c r="G188" s="141">
        <v>0</v>
      </c>
      <c r="H188" s="141">
        <v>0</v>
      </c>
      <c r="I188" s="141">
        <v>0</v>
      </c>
      <c r="J188" s="141">
        <v>0</v>
      </c>
      <c r="K188" s="141">
        <v>0</v>
      </c>
      <c r="L188" s="136" t="s">
        <v>50</v>
      </c>
      <c r="M188" s="136"/>
    </row>
    <row r="189" spans="1:13" ht="42.75" customHeight="1" x14ac:dyDescent="0.25">
      <c r="A189" s="441"/>
      <c r="B189" s="431"/>
      <c r="C189" s="136" t="s">
        <v>134</v>
      </c>
      <c r="D189" s="140" t="s">
        <v>51</v>
      </c>
      <c r="E189" s="141">
        <v>0</v>
      </c>
      <c r="F189" s="141">
        <f>G189+H189+I189+J189+K189</f>
        <v>0</v>
      </c>
      <c r="G189" s="141">
        <v>0</v>
      </c>
      <c r="H189" s="141">
        <v>0</v>
      </c>
      <c r="I189" s="141">
        <v>0</v>
      </c>
      <c r="J189" s="141">
        <v>0</v>
      </c>
      <c r="K189" s="141">
        <v>0</v>
      </c>
      <c r="L189" s="136" t="s">
        <v>50</v>
      </c>
      <c r="M189" s="136"/>
    </row>
    <row r="190" spans="1:13" ht="29.25" customHeight="1" x14ac:dyDescent="0.25">
      <c r="A190" s="421" t="s">
        <v>70</v>
      </c>
      <c r="B190" s="426" t="s">
        <v>310</v>
      </c>
      <c r="C190" s="176"/>
      <c r="D190" s="178" t="s">
        <v>49</v>
      </c>
      <c r="E190" s="38">
        <f>E191+E192+E193</f>
        <v>0</v>
      </c>
      <c r="F190" s="38">
        <f t="shared" ref="F190:K190" si="59">F191+F192+F193</f>
        <v>185</v>
      </c>
      <c r="G190" s="38">
        <f t="shared" si="59"/>
        <v>185</v>
      </c>
      <c r="H190" s="38">
        <f t="shared" si="59"/>
        <v>0</v>
      </c>
      <c r="I190" s="38">
        <f t="shared" si="59"/>
        <v>0</v>
      </c>
      <c r="J190" s="38">
        <f t="shared" si="59"/>
        <v>0</v>
      </c>
      <c r="K190" s="38">
        <f t="shared" si="59"/>
        <v>0</v>
      </c>
      <c r="L190" s="39" t="s">
        <v>50</v>
      </c>
      <c r="M190" s="39"/>
    </row>
    <row r="191" spans="1:13" ht="38.25" x14ac:dyDescent="0.25">
      <c r="A191" s="422"/>
      <c r="B191" s="427"/>
      <c r="C191" s="176" t="s">
        <v>134</v>
      </c>
      <c r="D191" s="84" t="s">
        <v>132</v>
      </c>
      <c r="E191" s="74">
        <v>0</v>
      </c>
      <c r="F191" s="74">
        <f>G191+H191+I191+J191+K191</f>
        <v>185</v>
      </c>
      <c r="G191" s="74">
        <f>150+5+30</f>
        <v>185</v>
      </c>
      <c r="H191" s="74">
        <v>0</v>
      </c>
      <c r="I191" s="74">
        <v>0</v>
      </c>
      <c r="J191" s="74">
        <v>0</v>
      </c>
      <c r="K191" s="74">
        <v>0</v>
      </c>
      <c r="L191" s="176" t="s">
        <v>50</v>
      </c>
      <c r="M191" s="168"/>
    </row>
    <row r="192" spans="1:13" ht="38.25" x14ac:dyDescent="0.25">
      <c r="A192" s="422"/>
      <c r="B192" s="427"/>
      <c r="C192" s="176" t="s">
        <v>134</v>
      </c>
      <c r="D192" s="84" t="s">
        <v>133</v>
      </c>
      <c r="E192" s="74">
        <v>0</v>
      </c>
      <c r="F192" s="74">
        <f>G192+H192+I192+J192+K192</f>
        <v>0</v>
      </c>
      <c r="G192" s="74">
        <v>0</v>
      </c>
      <c r="H192" s="74">
        <v>0</v>
      </c>
      <c r="I192" s="74">
        <v>0</v>
      </c>
      <c r="J192" s="74">
        <v>0</v>
      </c>
      <c r="K192" s="74">
        <v>0</v>
      </c>
      <c r="L192" s="176" t="s">
        <v>50</v>
      </c>
      <c r="M192" s="168"/>
    </row>
    <row r="193" spans="1:13" ht="38.25" x14ac:dyDescent="0.25">
      <c r="A193" s="423"/>
      <c r="B193" s="428"/>
      <c r="C193" s="176" t="s">
        <v>134</v>
      </c>
      <c r="D193" s="84" t="s">
        <v>51</v>
      </c>
      <c r="E193" s="74">
        <v>0</v>
      </c>
      <c r="F193" s="74">
        <f>G193+H193+I193+J193+K193</f>
        <v>0</v>
      </c>
      <c r="G193" s="74">
        <v>0</v>
      </c>
      <c r="H193" s="74">
        <v>0</v>
      </c>
      <c r="I193" s="74">
        <v>0</v>
      </c>
      <c r="J193" s="74">
        <v>0</v>
      </c>
      <c r="K193" s="74">
        <v>0</v>
      </c>
      <c r="L193" s="176" t="s">
        <v>50</v>
      </c>
      <c r="M193" s="168"/>
    </row>
    <row r="194" spans="1:13" ht="25.5" customHeight="1" x14ac:dyDescent="0.25">
      <c r="A194" s="421" t="s">
        <v>216</v>
      </c>
      <c r="B194" s="426" t="s">
        <v>313</v>
      </c>
      <c r="C194" s="176"/>
      <c r="D194" s="178" t="s">
        <v>49</v>
      </c>
      <c r="E194" s="38">
        <f>E195+E196+E197</f>
        <v>0</v>
      </c>
      <c r="F194" s="38">
        <f t="shared" ref="F194:K194" si="60">F195+F196+F197</f>
        <v>2013.2</v>
      </c>
      <c r="G194" s="38">
        <f t="shared" si="60"/>
        <v>417.9</v>
      </c>
      <c r="H194" s="38">
        <f t="shared" si="60"/>
        <v>245.3</v>
      </c>
      <c r="I194" s="38">
        <f t="shared" si="60"/>
        <v>450</v>
      </c>
      <c r="J194" s="38">
        <f t="shared" si="60"/>
        <v>450</v>
      </c>
      <c r="K194" s="38">
        <f t="shared" si="60"/>
        <v>450</v>
      </c>
      <c r="L194" s="39" t="s">
        <v>50</v>
      </c>
      <c r="M194" s="39"/>
    </row>
    <row r="195" spans="1:13" ht="38.25" x14ac:dyDescent="0.25">
      <c r="A195" s="422"/>
      <c r="B195" s="427"/>
      <c r="C195" s="176" t="s">
        <v>134</v>
      </c>
      <c r="D195" s="84" t="s">
        <v>132</v>
      </c>
      <c r="E195" s="74">
        <v>0</v>
      </c>
      <c r="F195" s="74">
        <f>G195+H195+I195+J195+K195</f>
        <v>2013.2</v>
      </c>
      <c r="G195" s="74">
        <f>450-32.1</f>
        <v>417.9</v>
      </c>
      <c r="H195" s="281">
        <v>245.3</v>
      </c>
      <c r="I195" s="74">
        <v>450</v>
      </c>
      <c r="J195" s="74">
        <v>450</v>
      </c>
      <c r="K195" s="74">
        <v>450</v>
      </c>
      <c r="L195" s="176" t="s">
        <v>50</v>
      </c>
      <c r="M195" s="168"/>
    </row>
    <row r="196" spans="1:13" ht="38.25" x14ac:dyDescent="0.25">
      <c r="A196" s="422"/>
      <c r="B196" s="427"/>
      <c r="C196" s="176" t="s">
        <v>134</v>
      </c>
      <c r="D196" s="84" t="s">
        <v>133</v>
      </c>
      <c r="E196" s="74">
        <v>0</v>
      </c>
      <c r="F196" s="74">
        <f>G196+H196+I196+J196+K196</f>
        <v>0</v>
      </c>
      <c r="G196" s="74">
        <v>0</v>
      </c>
      <c r="H196" s="74">
        <v>0</v>
      </c>
      <c r="I196" s="74">
        <v>0</v>
      </c>
      <c r="J196" s="74">
        <v>0</v>
      </c>
      <c r="K196" s="74">
        <v>0</v>
      </c>
      <c r="L196" s="176" t="s">
        <v>50</v>
      </c>
      <c r="M196" s="168"/>
    </row>
    <row r="197" spans="1:13" ht="38.25" x14ac:dyDescent="0.25">
      <c r="A197" s="423"/>
      <c r="B197" s="428"/>
      <c r="C197" s="176" t="s">
        <v>134</v>
      </c>
      <c r="D197" s="84" t="s">
        <v>51</v>
      </c>
      <c r="E197" s="74">
        <v>0</v>
      </c>
      <c r="F197" s="74">
        <f>G197+H197+I197+J197+K197</f>
        <v>0</v>
      </c>
      <c r="G197" s="74">
        <v>0</v>
      </c>
      <c r="H197" s="74">
        <v>0</v>
      </c>
      <c r="I197" s="74">
        <v>0</v>
      </c>
      <c r="J197" s="74">
        <v>0</v>
      </c>
      <c r="K197" s="74">
        <v>0</v>
      </c>
      <c r="L197" s="176" t="s">
        <v>50</v>
      </c>
      <c r="M197" s="168"/>
    </row>
    <row r="198" spans="1:13" ht="38.25" customHeight="1" x14ac:dyDescent="0.25">
      <c r="A198" s="421" t="s">
        <v>223</v>
      </c>
      <c r="B198" s="426" t="s">
        <v>314</v>
      </c>
      <c r="C198" s="176"/>
      <c r="D198" s="178" t="s">
        <v>49</v>
      </c>
      <c r="E198" s="38">
        <f>E199+E200+E201</f>
        <v>0</v>
      </c>
      <c r="F198" s="38">
        <f t="shared" ref="F198:K198" si="61">F199+F200+F201</f>
        <v>80</v>
      </c>
      <c r="G198" s="38">
        <f t="shared" si="61"/>
        <v>80</v>
      </c>
      <c r="H198" s="38">
        <f t="shared" si="61"/>
        <v>0</v>
      </c>
      <c r="I198" s="38">
        <f t="shared" si="61"/>
        <v>0</v>
      </c>
      <c r="J198" s="38">
        <f t="shared" si="61"/>
        <v>0</v>
      </c>
      <c r="K198" s="38">
        <f t="shared" si="61"/>
        <v>0</v>
      </c>
      <c r="L198" s="39" t="s">
        <v>50</v>
      </c>
      <c r="M198" s="374"/>
    </row>
    <row r="199" spans="1:13" ht="38.25" x14ac:dyDescent="0.25">
      <c r="A199" s="422"/>
      <c r="B199" s="427"/>
      <c r="C199" s="176" t="s">
        <v>134</v>
      </c>
      <c r="D199" s="84" t="s">
        <v>132</v>
      </c>
      <c r="E199" s="74">
        <v>0</v>
      </c>
      <c r="F199" s="74">
        <f>G199+H199+I199+J199+K199</f>
        <v>80</v>
      </c>
      <c r="G199" s="74">
        <f>50+50-20</f>
        <v>80</v>
      </c>
      <c r="H199" s="74">
        <v>0</v>
      </c>
      <c r="I199" s="74">
        <v>0</v>
      </c>
      <c r="J199" s="74">
        <v>0</v>
      </c>
      <c r="K199" s="74">
        <v>0</v>
      </c>
      <c r="L199" s="176" t="s">
        <v>50</v>
      </c>
      <c r="M199" s="375"/>
    </row>
    <row r="200" spans="1:13" ht="38.25" x14ac:dyDescent="0.25">
      <c r="A200" s="422"/>
      <c r="B200" s="427"/>
      <c r="C200" s="176" t="s">
        <v>134</v>
      </c>
      <c r="D200" s="84" t="s">
        <v>133</v>
      </c>
      <c r="E200" s="74">
        <v>0</v>
      </c>
      <c r="F200" s="74">
        <f>G200+H200+I200+J200+K200</f>
        <v>0</v>
      </c>
      <c r="G200" s="74">
        <v>0</v>
      </c>
      <c r="H200" s="74">
        <v>0</v>
      </c>
      <c r="I200" s="74">
        <v>0</v>
      </c>
      <c r="J200" s="74">
        <v>0</v>
      </c>
      <c r="K200" s="74">
        <v>0</v>
      </c>
      <c r="L200" s="176" t="s">
        <v>50</v>
      </c>
      <c r="M200" s="375"/>
    </row>
    <row r="201" spans="1:13" ht="38.25" x14ac:dyDescent="0.25">
      <c r="A201" s="423"/>
      <c r="B201" s="428"/>
      <c r="C201" s="176" t="s">
        <v>134</v>
      </c>
      <c r="D201" s="84" t="s">
        <v>51</v>
      </c>
      <c r="E201" s="74">
        <v>0</v>
      </c>
      <c r="F201" s="74">
        <f>G201+H201+I201+J201+K201</f>
        <v>0</v>
      </c>
      <c r="G201" s="74">
        <v>0</v>
      </c>
      <c r="H201" s="74">
        <v>0</v>
      </c>
      <c r="I201" s="74">
        <v>0</v>
      </c>
      <c r="J201" s="74">
        <v>0</v>
      </c>
      <c r="K201" s="74">
        <v>0</v>
      </c>
      <c r="L201" s="176" t="s">
        <v>50</v>
      </c>
      <c r="M201" s="376"/>
    </row>
    <row r="202" spans="1:13" ht="25.5" x14ac:dyDescent="0.25">
      <c r="A202" s="421" t="s">
        <v>224</v>
      </c>
      <c r="B202" s="426" t="s">
        <v>363</v>
      </c>
      <c r="C202" s="176"/>
      <c r="D202" s="178" t="s">
        <v>49</v>
      </c>
      <c r="E202" s="38">
        <f>E203+E204+E205</f>
        <v>0</v>
      </c>
      <c r="F202" s="38">
        <f t="shared" ref="F202:K202" si="62">F203+F204+F205</f>
        <v>1139.3</v>
      </c>
      <c r="G202" s="38">
        <f t="shared" si="62"/>
        <v>200</v>
      </c>
      <c r="H202" s="38">
        <f t="shared" si="62"/>
        <v>210.3</v>
      </c>
      <c r="I202" s="38">
        <f t="shared" si="62"/>
        <v>243</v>
      </c>
      <c r="J202" s="38">
        <f t="shared" si="62"/>
        <v>243</v>
      </c>
      <c r="K202" s="38">
        <f t="shared" si="62"/>
        <v>243</v>
      </c>
      <c r="L202" s="39" t="s">
        <v>50</v>
      </c>
      <c r="M202" s="39"/>
    </row>
    <row r="203" spans="1:13" ht="38.25" x14ac:dyDescent="0.25">
      <c r="A203" s="422"/>
      <c r="B203" s="427"/>
      <c r="C203" s="176" t="s">
        <v>134</v>
      </c>
      <c r="D203" s="84" t="s">
        <v>132</v>
      </c>
      <c r="E203" s="74">
        <v>0</v>
      </c>
      <c r="F203" s="74">
        <f>G203+H203+I203+J203+K203</f>
        <v>1139.3</v>
      </c>
      <c r="G203" s="74">
        <v>200</v>
      </c>
      <c r="H203" s="281">
        <v>210.3</v>
      </c>
      <c r="I203" s="74">
        <v>243</v>
      </c>
      <c r="J203" s="74">
        <v>243</v>
      </c>
      <c r="K203" s="74">
        <v>243</v>
      </c>
      <c r="L203" s="176" t="s">
        <v>50</v>
      </c>
      <c r="M203" s="133"/>
    </row>
    <row r="204" spans="1:13" ht="38.25" x14ac:dyDescent="0.25">
      <c r="A204" s="422"/>
      <c r="B204" s="427"/>
      <c r="C204" s="176" t="s">
        <v>134</v>
      </c>
      <c r="D204" s="84" t="s">
        <v>133</v>
      </c>
      <c r="E204" s="74">
        <v>0</v>
      </c>
      <c r="F204" s="74">
        <f>G204+H204+I204+J204+K204</f>
        <v>0</v>
      </c>
      <c r="G204" s="74">
        <v>0</v>
      </c>
      <c r="H204" s="74">
        <v>0</v>
      </c>
      <c r="I204" s="74">
        <v>0</v>
      </c>
      <c r="J204" s="74">
        <v>0</v>
      </c>
      <c r="K204" s="74">
        <v>0</v>
      </c>
      <c r="L204" s="176" t="s">
        <v>50</v>
      </c>
      <c r="M204" s="133"/>
    </row>
    <row r="205" spans="1:13" ht="38.25" x14ac:dyDescent="0.25">
      <c r="A205" s="423"/>
      <c r="B205" s="428"/>
      <c r="C205" s="176" t="s">
        <v>134</v>
      </c>
      <c r="D205" s="84" t="s">
        <v>51</v>
      </c>
      <c r="E205" s="74">
        <v>0</v>
      </c>
      <c r="F205" s="74">
        <f>G205+H205+I205+J205+K205</f>
        <v>0</v>
      </c>
      <c r="G205" s="74">
        <v>0</v>
      </c>
      <c r="H205" s="74">
        <v>0</v>
      </c>
      <c r="I205" s="74">
        <v>0</v>
      </c>
      <c r="J205" s="74">
        <v>0</v>
      </c>
      <c r="K205" s="74">
        <v>0</v>
      </c>
      <c r="L205" s="176" t="s">
        <v>50</v>
      </c>
      <c r="M205" s="133"/>
    </row>
    <row r="206" spans="1:13" ht="25.5" x14ac:dyDescent="0.25">
      <c r="A206" s="421" t="s">
        <v>225</v>
      </c>
      <c r="B206" s="426" t="s">
        <v>275</v>
      </c>
      <c r="C206" s="176"/>
      <c r="D206" s="178" t="s">
        <v>49</v>
      </c>
      <c r="E206" s="38">
        <f>E207+E208+E209</f>
        <v>0</v>
      </c>
      <c r="F206" s="38">
        <f t="shared" ref="F206:K206" si="63">F207+F208+F209</f>
        <v>11541.300000000001</v>
      </c>
      <c r="G206" s="38">
        <f t="shared" si="63"/>
        <v>756.7</v>
      </c>
      <c r="H206" s="276">
        <f t="shared" si="63"/>
        <v>1931.4</v>
      </c>
      <c r="I206" s="38">
        <f t="shared" si="63"/>
        <v>0</v>
      </c>
      <c r="J206" s="38">
        <f t="shared" si="63"/>
        <v>4426.6000000000004</v>
      </c>
      <c r="K206" s="38">
        <f t="shared" si="63"/>
        <v>4426.6000000000004</v>
      </c>
      <c r="L206" s="39" t="s">
        <v>50</v>
      </c>
      <c r="M206" s="39"/>
    </row>
    <row r="207" spans="1:13" ht="38.25" x14ac:dyDescent="0.25">
      <c r="A207" s="422"/>
      <c r="B207" s="427"/>
      <c r="C207" s="176" t="s">
        <v>134</v>
      </c>
      <c r="D207" s="84" t="s">
        <v>132</v>
      </c>
      <c r="E207" s="74">
        <v>0</v>
      </c>
      <c r="F207" s="74">
        <f>G207+H207+I207+J207+K207</f>
        <v>11541.300000000001</v>
      </c>
      <c r="G207" s="74">
        <f>680+113.2-36.5</f>
        <v>756.7</v>
      </c>
      <c r="H207" s="281">
        <v>1931.4</v>
      </c>
      <c r="I207" s="74">
        <v>0</v>
      </c>
      <c r="J207" s="74">
        <v>4426.6000000000004</v>
      </c>
      <c r="K207" s="74">
        <v>4426.6000000000004</v>
      </c>
      <c r="L207" s="176" t="s">
        <v>50</v>
      </c>
      <c r="M207" s="133"/>
    </row>
    <row r="208" spans="1:13" ht="38.25" x14ac:dyDescent="0.25">
      <c r="A208" s="422"/>
      <c r="B208" s="427"/>
      <c r="C208" s="176" t="s">
        <v>134</v>
      </c>
      <c r="D208" s="84" t="s">
        <v>133</v>
      </c>
      <c r="E208" s="74">
        <v>0</v>
      </c>
      <c r="F208" s="74">
        <f>G208+H208+I208+J208+K208</f>
        <v>0</v>
      </c>
      <c r="G208" s="74">
        <v>0</v>
      </c>
      <c r="H208" s="74">
        <v>0</v>
      </c>
      <c r="I208" s="74">
        <v>0</v>
      </c>
      <c r="J208" s="74">
        <v>0</v>
      </c>
      <c r="K208" s="74">
        <v>0</v>
      </c>
      <c r="L208" s="176" t="s">
        <v>50</v>
      </c>
      <c r="M208" s="133"/>
    </row>
    <row r="209" spans="1:14" ht="38.25" x14ac:dyDescent="0.25">
      <c r="A209" s="423"/>
      <c r="B209" s="428"/>
      <c r="C209" s="176" t="s">
        <v>134</v>
      </c>
      <c r="D209" s="84" t="s">
        <v>51</v>
      </c>
      <c r="E209" s="74">
        <v>0</v>
      </c>
      <c r="F209" s="74">
        <f>G209+H209+I209+J209+K209</f>
        <v>0</v>
      </c>
      <c r="G209" s="74">
        <v>0</v>
      </c>
      <c r="H209" s="74">
        <v>0</v>
      </c>
      <c r="I209" s="74">
        <v>0</v>
      </c>
      <c r="J209" s="74">
        <v>0</v>
      </c>
      <c r="K209" s="74">
        <v>0</v>
      </c>
      <c r="L209" s="176" t="s">
        <v>50</v>
      </c>
      <c r="M209" s="133"/>
    </row>
    <row r="210" spans="1:14" ht="25.5" x14ac:dyDescent="0.25">
      <c r="A210" s="421" t="s">
        <v>226</v>
      </c>
      <c r="B210" s="426" t="s">
        <v>266</v>
      </c>
      <c r="C210" s="176"/>
      <c r="D210" s="178" t="s">
        <v>49</v>
      </c>
      <c r="E210" s="38">
        <f>E211+E212+E213</f>
        <v>0</v>
      </c>
      <c r="F210" s="38">
        <f t="shared" ref="F210:K210" si="64">F211+F212+F213</f>
        <v>2216.83</v>
      </c>
      <c r="G210" s="38">
        <f t="shared" si="64"/>
        <v>224.13</v>
      </c>
      <c r="H210" s="38">
        <f t="shared" si="64"/>
        <v>749.69999999999993</v>
      </c>
      <c r="I210" s="38">
        <f t="shared" si="64"/>
        <v>671.9</v>
      </c>
      <c r="J210" s="38">
        <f t="shared" si="64"/>
        <v>571.1</v>
      </c>
      <c r="K210" s="38">
        <f t="shared" si="64"/>
        <v>0</v>
      </c>
      <c r="L210" s="39" t="s">
        <v>50</v>
      </c>
      <c r="M210" s="39"/>
    </row>
    <row r="211" spans="1:14" ht="38.25" x14ac:dyDescent="0.25">
      <c r="A211" s="422"/>
      <c r="B211" s="427"/>
      <c r="C211" s="176" t="s">
        <v>134</v>
      </c>
      <c r="D211" s="84" t="s">
        <v>132</v>
      </c>
      <c r="E211" s="74">
        <v>0</v>
      </c>
      <c r="F211" s="74">
        <f>G211+H211+I211+J211+K211</f>
        <v>2216.83</v>
      </c>
      <c r="G211" s="74">
        <f>45+80+241.43-157.3+15</f>
        <v>224.13</v>
      </c>
      <c r="H211" s="281">
        <f>671.9-48+158.7-32.9</f>
        <v>749.69999999999993</v>
      </c>
      <c r="I211" s="74">
        <v>671.9</v>
      </c>
      <c r="J211" s="74">
        <v>571.1</v>
      </c>
      <c r="K211" s="74">
        <v>0</v>
      </c>
      <c r="L211" s="176" t="s">
        <v>50</v>
      </c>
      <c r="M211" s="150"/>
    </row>
    <row r="212" spans="1:14" ht="38.25" x14ac:dyDescent="0.25">
      <c r="A212" s="422"/>
      <c r="B212" s="427"/>
      <c r="C212" s="176" t="s">
        <v>134</v>
      </c>
      <c r="D212" s="84" t="s">
        <v>133</v>
      </c>
      <c r="E212" s="74">
        <v>0</v>
      </c>
      <c r="F212" s="74">
        <f>G212+H212+I212+J212+K212</f>
        <v>0</v>
      </c>
      <c r="G212" s="74">
        <v>0</v>
      </c>
      <c r="H212" s="74">
        <v>0</v>
      </c>
      <c r="I212" s="74">
        <v>0</v>
      </c>
      <c r="J212" s="74">
        <v>0</v>
      </c>
      <c r="K212" s="74">
        <v>0</v>
      </c>
      <c r="L212" s="176" t="s">
        <v>50</v>
      </c>
      <c r="M212" s="150"/>
    </row>
    <row r="213" spans="1:14" ht="38.25" x14ac:dyDescent="0.25">
      <c r="A213" s="423"/>
      <c r="B213" s="428"/>
      <c r="C213" s="176" t="s">
        <v>134</v>
      </c>
      <c r="D213" s="84" t="s">
        <v>51</v>
      </c>
      <c r="E213" s="74">
        <v>0</v>
      </c>
      <c r="F213" s="74">
        <f>G213+H213+I213+J213+K213</f>
        <v>0</v>
      </c>
      <c r="G213" s="74">
        <v>0</v>
      </c>
      <c r="H213" s="74">
        <v>0</v>
      </c>
      <c r="I213" s="74">
        <v>0</v>
      </c>
      <c r="J213" s="74">
        <v>0</v>
      </c>
      <c r="K213" s="74">
        <v>0</v>
      </c>
      <c r="L213" s="176" t="s">
        <v>50</v>
      </c>
      <c r="M213" s="150"/>
    </row>
    <row r="214" spans="1:14" ht="28.5" customHeight="1" x14ac:dyDescent="0.25">
      <c r="A214" s="296" t="s">
        <v>54</v>
      </c>
      <c r="B214" s="296"/>
      <c r="C214" s="95"/>
      <c r="D214" s="32" t="s">
        <v>53</v>
      </c>
      <c r="E214" s="75">
        <f>E216+E215+E217</f>
        <v>0</v>
      </c>
      <c r="F214" s="75">
        <f t="shared" ref="F214:K214" si="65">F216+F215+F217</f>
        <v>362990.37000000005</v>
      </c>
      <c r="G214" s="75">
        <f t="shared" si="65"/>
        <v>63580.97</v>
      </c>
      <c r="H214" s="75">
        <f t="shared" si="65"/>
        <v>69978.900000000009</v>
      </c>
      <c r="I214" s="75">
        <f t="shared" si="65"/>
        <v>68139.7</v>
      </c>
      <c r="J214" s="75">
        <f t="shared" si="65"/>
        <v>78500.60000000002</v>
      </c>
      <c r="K214" s="75">
        <f t="shared" si="65"/>
        <v>82790.200000000012</v>
      </c>
      <c r="L214" s="80"/>
      <c r="M214" s="80"/>
    </row>
    <row r="215" spans="1:14" ht="45" customHeight="1" x14ac:dyDescent="0.25">
      <c r="A215" s="296"/>
      <c r="B215" s="296"/>
      <c r="C215" s="95"/>
      <c r="D215" s="32" t="s">
        <v>145</v>
      </c>
      <c r="E215" s="75">
        <v>0</v>
      </c>
      <c r="F215" s="75">
        <f t="shared" ref="F215:K217" si="66">F131</f>
        <v>359249.87000000005</v>
      </c>
      <c r="G215" s="75">
        <f t="shared" si="66"/>
        <v>59840.47</v>
      </c>
      <c r="H215" s="75">
        <f t="shared" si="66"/>
        <v>69978.900000000009</v>
      </c>
      <c r="I215" s="75">
        <f t="shared" si="66"/>
        <v>68139.7</v>
      </c>
      <c r="J215" s="75">
        <f t="shared" si="66"/>
        <v>78500.60000000002</v>
      </c>
      <c r="K215" s="75">
        <f t="shared" si="66"/>
        <v>82790.200000000012</v>
      </c>
      <c r="L215" s="80"/>
      <c r="M215" s="80"/>
      <c r="N215" s="17"/>
    </row>
    <row r="216" spans="1:14" ht="43.5" customHeight="1" x14ac:dyDescent="0.25">
      <c r="A216" s="296"/>
      <c r="B216" s="296"/>
      <c r="C216" s="95"/>
      <c r="D216" s="42" t="s">
        <v>146</v>
      </c>
      <c r="E216" s="43">
        <f>E128</f>
        <v>0</v>
      </c>
      <c r="F216" s="43">
        <f t="shared" si="66"/>
        <v>3740.5</v>
      </c>
      <c r="G216" s="43">
        <f t="shared" si="66"/>
        <v>3740.5</v>
      </c>
      <c r="H216" s="43">
        <f t="shared" si="66"/>
        <v>0</v>
      </c>
      <c r="I216" s="43">
        <f t="shared" si="66"/>
        <v>0</v>
      </c>
      <c r="J216" s="43">
        <f t="shared" si="66"/>
        <v>0</v>
      </c>
      <c r="K216" s="43">
        <f t="shared" si="66"/>
        <v>0</v>
      </c>
      <c r="L216" s="71"/>
      <c r="M216" s="71"/>
    </row>
    <row r="217" spans="1:14" ht="42.75" customHeight="1" x14ac:dyDescent="0.25">
      <c r="A217" s="296"/>
      <c r="B217" s="296"/>
      <c r="C217" s="95"/>
      <c r="D217" s="45" t="s">
        <v>55</v>
      </c>
      <c r="E217" s="46">
        <f>E129</f>
        <v>0</v>
      </c>
      <c r="F217" s="46">
        <f t="shared" si="66"/>
        <v>0</v>
      </c>
      <c r="G217" s="46">
        <f t="shared" si="66"/>
        <v>0</v>
      </c>
      <c r="H217" s="46">
        <f t="shared" si="66"/>
        <v>0</v>
      </c>
      <c r="I217" s="46">
        <f t="shared" si="66"/>
        <v>0</v>
      </c>
      <c r="J217" s="46">
        <f t="shared" si="66"/>
        <v>0</v>
      </c>
      <c r="K217" s="46">
        <f t="shared" si="66"/>
        <v>0</v>
      </c>
      <c r="L217" s="40"/>
      <c r="M217" s="40"/>
    </row>
    <row r="218" spans="1:14" ht="40.5" customHeight="1" x14ac:dyDescent="0.25">
      <c r="A218" s="432" t="s">
        <v>189</v>
      </c>
      <c r="B218" s="432"/>
      <c r="C218" s="432"/>
      <c r="D218" s="432"/>
      <c r="E218" s="432"/>
      <c r="F218" s="432"/>
      <c r="G218" s="432"/>
      <c r="H218" s="432"/>
      <c r="I218" s="432"/>
      <c r="J218" s="432"/>
      <c r="K218" s="432"/>
      <c r="L218" s="432"/>
      <c r="M218" s="432"/>
    </row>
    <row r="219" spans="1:14" ht="31.5" customHeight="1" x14ac:dyDescent="0.25">
      <c r="A219" s="442" t="s">
        <v>211</v>
      </c>
      <c r="B219" s="436" t="s">
        <v>148</v>
      </c>
      <c r="C219" s="72"/>
      <c r="D219" s="32" t="s">
        <v>49</v>
      </c>
      <c r="E219" s="75">
        <f>E220+E221+E222</f>
        <v>0</v>
      </c>
      <c r="F219" s="75">
        <f t="shared" ref="F219:K219" si="67">F220+F221+F222</f>
        <v>701311.59999999986</v>
      </c>
      <c r="G219" s="75">
        <f t="shared" si="67"/>
        <v>136617.29999999999</v>
      </c>
      <c r="H219" s="75">
        <f t="shared" si="67"/>
        <v>136181.20000000001</v>
      </c>
      <c r="I219" s="75">
        <f t="shared" si="67"/>
        <v>135456.69999999998</v>
      </c>
      <c r="J219" s="75">
        <f t="shared" si="67"/>
        <v>143383.80000000002</v>
      </c>
      <c r="K219" s="75">
        <f t="shared" si="67"/>
        <v>149672.60000000003</v>
      </c>
      <c r="L219" s="67"/>
      <c r="M219" s="67"/>
    </row>
    <row r="220" spans="1:14" ht="38.25" x14ac:dyDescent="0.25">
      <c r="A220" s="443"/>
      <c r="B220" s="437"/>
      <c r="C220" s="80"/>
      <c r="D220" s="83" t="s">
        <v>132</v>
      </c>
      <c r="E220" s="35">
        <f t="shared" ref="E220:K222" si="68">E224+E288</f>
        <v>0</v>
      </c>
      <c r="F220" s="35">
        <f t="shared" si="68"/>
        <v>690094.39999999991</v>
      </c>
      <c r="G220" s="35">
        <f t="shared" si="68"/>
        <v>125400.09999999999</v>
      </c>
      <c r="H220" s="35">
        <f t="shared" si="68"/>
        <v>136181.20000000001</v>
      </c>
      <c r="I220" s="35">
        <f t="shared" si="68"/>
        <v>135456.69999999998</v>
      </c>
      <c r="J220" s="35">
        <f t="shared" si="68"/>
        <v>143383.80000000002</v>
      </c>
      <c r="K220" s="35">
        <f t="shared" si="68"/>
        <v>149672.60000000003</v>
      </c>
      <c r="L220" s="67"/>
      <c r="M220" s="67"/>
    </row>
    <row r="221" spans="1:14" ht="43.5" customHeight="1" x14ac:dyDescent="0.25">
      <c r="A221" s="443"/>
      <c r="B221" s="437"/>
      <c r="C221" s="80"/>
      <c r="D221" s="90" t="s">
        <v>133</v>
      </c>
      <c r="E221" s="91">
        <f t="shared" si="68"/>
        <v>0</v>
      </c>
      <c r="F221" s="91">
        <f t="shared" si="68"/>
        <v>11217.2</v>
      </c>
      <c r="G221" s="91">
        <f t="shared" si="68"/>
        <v>11217.2</v>
      </c>
      <c r="H221" s="91">
        <f t="shared" si="68"/>
        <v>0</v>
      </c>
      <c r="I221" s="91">
        <f t="shared" si="68"/>
        <v>0</v>
      </c>
      <c r="J221" s="91">
        <f t="shared" si="68"/>
        <v>0</v>
      </c>
      <c r="K221" s="91">
        <f t="shared" si="68"/>
        <v>0</v>
      </c>
      <c r="L221" s="71"/>
      <c r="M221" s="71"/>
    </row>
    <row r="222" spans="1:14" ht="41.25" customHeight="1" x14ac:dyDescent="0.25">
      <c r="A222" s="444"/>
      <c r="B222" s="438"/>
      <c r="C222" s="80"/>
      <c r="D222" s="86" t="s">
        <v>51</v>
      </c>
      <c r="E222" s="41">
        <f t="shared" si="68"/>
        <v>0</v>
      </c>
      <c r="F222" s="41">
        <f t="shared" si="68"/>
        <v>0</v>
      </c>
      <c r="G222" s="41">
        <f t="shared" si="68"/>
        <v>0</v>
      </c>
      <c r="H222" s="41">
        <f t="shared" si="68"/>
        <v>0</v>
      </c>
      <c r="I222" s="41">
        <f t="shared" si="68"/>
        <v>0</v>
      </c>
      <c r="J222" s="41">
        <f t="shared" si="68"/>
        <v>0</v>
      </c>
      <c r="K222" s="41">
        <f t="shared" si="68"/>
        <v>0</v>
      </c>
      <c r="L222" s="40"/>
      <c r="M222" s="40"/>
    </row>
    <row r="223" spans="1:14" ht="45" customHeight="1" x14ac:dyDescent="0.25">
      <c r="A223" s="439" t="s">
        <v>71</v>
      </c>
      <c r="B223" s="429" t="s">
        <v>168</v>
      </c>
      <c r="C223" s="136"/>
      <c r="D223" s="137" t="s">
        <v>49</v>
      </c>
      <c r="E223" s="138">
        <f t="shared" ref="E223:K223" si="69">E224+E225+E226</f>
        <v>0</v>
      </c>
      <c r="F223" s="138">
        <f t="shared" si="69"/>
        <v>690393.19999999984</v>
      </c>
      <c r="G223" s="138">
        <f t="shared" si="69"/>
        <v>134404.1</v>
      </c>
      <c r="H223" s="138">
        <f t="shared" si="69"/>
        <v>133425.1</v>
      </c>
      <c r="I223" s="138">
        <f t="shared" si="69"/>
        <v>134766.69999999998</v>
      </c>
      <c r="J223" s="138">
        <f t="shared" si="69"/>
        <v>139960.70000000001</v>
      </c>
      <c r="K223" s="138">
        <f t="shared" si="69"/>
        <v>147836.60000000003</v>
      </c>
      <c r="L223" s="139" t="s">
        <v>50</v>
      </c>
      <c r="M223" s="139"/>
    </row>
    <row r="224" spans="1:14" ht="45" customHeight="1" x14ac:dyDescent="0.25">
      <c r="A224" s="440"/>
      <c r="B224" s="430"/>
      <c r="C224" s="136" t="s">
        <v>134</v>
      </c>
      <c r="D224" s="140" t="s">
        <v>132</v>
      </c>
      <c r="E224" s="141">
        <f t="shared" ref="E224:F226" si="70">E228+E232+E236+E240+E244+E248+E252+E256+E260+E264+E268+E272+E276+E280</f>
        <v>0</v>
      </c>
      <c r="F224" s="141">
        <f t="shared" si="70"/>
        <v>679175.99999999988</v>
      </c>
      <c r="G224" s="141">
        <f>G228+G232+G236+G240+G244+G248+G252+G256+G260+G264+G268+G272+G276+G280</f>
        <v>123186.9</v>
      </c>
      <c r="H224" s="141">
        <f>H228+H232+H236+H240+H244+H248+H252+H256+H260+H264+H268+H272+H276+H280</f>
        <v>133425.1</v>
      </c>
      <c r="I224" s="141">
        <f>I228+I232+I236+I240+I244+I248+I252+I256+I260+I264+I268+I272+I276+I280</f>
        <v>134766.69999999998</v>
      </c>
      <c r="J224" s="141">
        <f>J228+J232+J236+J240+J244+J248+J252+J256+J260+J264+J268+J272+J276+J280</f>
        <v>139960.70000000001</v>
      </c>
      <c r="K224" s="141">
        <f>K228+K232+K236+K240+K244+K248+K252+K256+K260+K264+K268+K272+K276+K280</f>
        <v>147836.60000000003</v>
      </c>
      <c r="L224" s="136" t="s">
        <v>50</v>
      </c>
      <c r="M224" s="136"/>
    </row>
    <row r="225" spans="1:13" ht="45" customHeight="1" x14ac:dyDescent="0.25">
      <c r="A225" s="440"/>
      <c r="B225" s="430"/>
      <c r="C225" s="136" t="s">
        <v>134</v>
      </c>
      <c r="D225" s="140" t="s">
        <v>133</v>
      </c>
      <c r="E225" s="141">
        <f t="shared" ref="E225:K225" si="71">E229+E233+E237+E241+E245+E249+E253+E257+E261+E265+E269+E273+E277+E281+E285</f>
        <v>0</v>
      </c>
      <c r="F225" s="141">
        <f t="shared" si="71"/>
        <v>11217.2</v>
      </c>
      <c r="G225" s="141">
        <f t="shared" si="71"/>
        <v>11217.2</v>
      </c>
      <c r="H225" s="141">
        <f t="shared" si="71"/>
        <v>0</v>
      </c>
      <c r="I225" s="141">
        <f t="shared" si="71"/>
        <v>0</v>
      </c>
      <c r="J225" s="141">
        <f t="shared" si="71"/>
        <v>0</v>
      </c>
      <c r="K225" s="141">
        <f t="shared" si="71"/>
        <v>0</v>
      </c>
      <c r="L225" s="136" t="s">
        <v>50</v>
      </c>
      <c r="M225" s="136"/>
    </row>
    <row r="226" spans="1:13" ht="45" customHeight="1" x14ac:dyDescent="0.25">
      <c r="A226" s="441"/>
      <c r="B226" s="431"/>
      <c r="C226" s="136" t="s">
        <v>134</v>
      </c>
      <c r="D226" s="140" t="s">
        <v>51</v>
      </c>
      <c r="E226" s="141">
        <f t="shared" si="70"/>
        <v>0</v>
      </c>
      <c r="F226" s="141">
        <f t="shared" si="70"/>
        <v>0</v>
      </c>
      <c r="G226" s="141">
        <f>G230+G234+G238+G242+G246+G250+G254+G258+G262+G266+G270+G274+G278+G282</f>
        <v>0</v>
      </c>
      <c r="H226" s="141">
        <f>H230+H234+H238+H242+H246+H250+H254+H258+H262+H266+H270+H274+H278+H282</f>
        <v>0</v>
      </c>
      <c r="I226" s="141">
        <f>I230+I234+I238+I242+I246+I250+I254+I258+I262+I266+I270+I274+I278+I282</f>
        <v>0</v>
      </c>
      <c r="J226" s="141">
        <f>J230+J234+J238+J242+J246+J250+J254+J258+J262+J266+J270+J274+J278+J282</f>
        <v>0</v>
      </c>
      <c r="K226" s="141">
        <f>K230+K234+K238+K242+K246+K250+K254+K258+K262+K266+K270+K274+K278+K282</f>
        <v>0</v>
      </c>
      <c r="L226" s="136" t="s">
        <v>50</v>
      </c>
      <c r="M226" s="136"/>
    </row>
    <row r="227" spans="1:13" ht="32.25" customHeight="1" x14ac:dyDescent="0.25">
      <c r="A227" s="421" t="s">
        <v>62</v>
      </c>
      <c r="B227" s="426" t="s">
        <v>296</v>
      </c>
      <c r="C227" s="176"/>
      <c r="D227" s="178" t="s">
        <v>49</v>
      </c>
      <c r="E227" s="38">
        <f>E228+E229+E230</f>
        <v>0</v>
      </c>
      <c r="F227" s="38">
        <f t="shared" ref="F227:K227" si="72">F228+F229+F230</f>
        <v>571674.5</v>
      </c>
      <c r="G227" s="38">
        <f t="shared" si="72"/>
        <v>101724.20000000001</v>
      </c>
      <c r="H227" s="38">
        <f t="shared" si="72"/>
        <v>112141.6</v>
      </c>
      <c r="I227" s="38">
        <f t="shared" si="72"/>
        <v>117173.3</v>
      </c>
      <c r="J227" s="38">
        <f t="shared" si="72"/>
        <v>117173.3</v>
      </c>
      <c r="K227" s="38">
        <f t="shared" si="72"/>
        <v>123462.1</v>
      </c>
      <c r="L227" s="39" t="s">
        <v>50</v>
      </c>
      <c r="M227" s="433"/>
    </row>
    <row r="228" spans="1:13" ht="45" customHeight="1" x14ac:dyDescent="0.25">
      <c r="A228" s="422"/>
      <c r="B228" s="427"/>
      <c r="C228" s="176" t="s">
        <v>134</v>
      </c>
      <c r="D228" s="84" t="s">
        <v>132</v>
      </c>
      <c r="E228" s="74">
        <v>0</v>
      </c>
      <c r="F228" s="74">
        <f>G228+H228+I228+J228+K228</f>
        <v>571674.5</v>
      </c>
      <c r="G228" s="74">
        <f>101250-814-12.2-326.7+1627.1</f>
        <v>101724.20000000001</v>
      </c>
      <c r="H228" s="74">
        <f>123462.1-6288.8-5031.7</f>
        <v>112141.6</v>
      </c>
      <c r="I228" s="74">
        <f>123462.1-6288.8</f>
        <v>117173.3</v>
      </c>
      <c r="J228" s="74">
        <f>123462.1-6288.8</f>
        <v>117173.3</v>
      </c>
      <c r="K228" s="74">
        <v>123462.1</v>
      </c>
      <c r="L228" s="176" t="s">
        <v>50</v>
      </c>
      <c r="M228" s="434"/>
    </row>
    <row r="229" spans="1:13" ht="45" customHeight="1" x14ac:dyDescent="0.25">
      <c r="A229" s="422"/>
      <c r="B229" s="427"/>
      <c r="C229" s="176" t="s">
        <v>134</v>
      </c>
      <c r="D229" s="84" t="s">
        <v>133</v>
      </c>
      <c r="E229" s="74">
        <v>0</v>
      </c>
      <c r="F229" s="74">
        <f>G229+H229+I229+J229+K229</f>
        <v>0</v>
      </c>
      <c r="G229" s="74">
        <v>0</v>
      </c>
      <c r="H229" s="74">
        <v>0</v>
      </c>
      <c r="I229" s="74">
        <v>0</v>
      </c>
      <c r="J229" s="74">
        <v>0</v>
      </c>
      <c r="K229" s="74">
        <v>0</v>
      </c>
      <c r="L229" s="176" t="s">
        <v>50</v>
      </c>
      <c r="M229" s="435"/>
    </row>
    <row r="230" spans="1:13" ht="45" customHeight="1" x14ac:dyDescent="0.25">
      <c r="A230" s="423"/>
      <c r="B230" s="428"/>
      <c r="C230" s="176" t="s">
        <v>134</v>
      </c>
      <c r="D230" s="84" t="s">
        <v>51</v>
      </c>
      <c r="E230" s="74">
        <v>0</v>
      </c>
      <c r="F230" s="74">
        <f>G230+H230+I230+J230+K230</f>
        <v>0</v>
      </c>
      <c r="G230" s="74">
        <v>0</v>
      </c>
      <c r="H230" s="74">
        <v>0</v>
      </c>
      <c r="I230" s="74">
        <v>0</v>
      </c>
      <c r="J230" s="74">
        <v>0</v>
      </c>
      <c r="K230" s="74">
        <v>0</v>
      </c>
      <c r="L230" s="176" t="s">
        <v>50</v>
      </c>
      <c r="M230" s="176"/>
    </row>
    <row r="231" spans="1:13" ht="45" customHeight="1" x14ac:dyDescent="0.25">
      <c r="A231" s="421" t="s">
        <v>64</v>
      </c>
      <c r="B231" s="426" t="s">
        <v>322</v>
      </c>
      <c r="C231" s="176"/>
      <c r="D231" s="178" t="s">
        <v>49</v>
      </c>
      <c r="E231" s="38">
        <f>E232+E233+E234</f>
        <v>0</v>
      </c>
      <c r="F231" s="38">
        <f t="shared" ref="F231:K231" si="73">F232+F233+F234</f>
        <v>11235.900000000001</v>
      </c>
      <c r="G231" s="38">
        <f t="shared" si="73"/>
        <v>11235.900000000001</v>
      </c>
      <c r="H231" s="38">
        <f t="shared" si="73"/>
        <v>0</v>
      </c>
      <c r="I231" s="38">
        <f t="shared" si="73"/>
        <v>0</v>
      </c>
      <c r="J231" s="38">
        <f t="shared" si="73"/>
        <v>0</v>
      </c>
      <c r="K231" s="38">
        <f t="shared" si="73"/>
        <v>0</v>
      </c>
      <c r="L231" s="39" t="s">
        <v>50</v>
      </c>
      <c r="M231" s="39"/>
    </row>
    <row r="232" spans="1:13" ht="45" customHeight="1" x14ac:dyDescent="0.25">
      <c r="A232" s="422"/>
      <c r="B232" s="427"/>
      <c r="C232" s="176" t="s">
        <v>134</v>
      </c>
      <c r="D232" s="84" t="s">
        <v>132</v>
      </c>
      <c r="E232" s="74">
        <v>0</v>
      </c>
      <c r="F232" s="74">
        <f>G232+H232+I232+J232+K232</f>
        <v>1140.7</v>
      </c>
      <c r="G232" s="74">
        <f>814+326.7</f>
        <v>1140.7</v>
      </c>
      <c r="H232" s="74">
        <v>0</v>
      </c>
      <c r="I232" s="74">
        <v>0</v>
      </c>
      <c r="J232" s="74">
        <v>0</v>
      </c>
      <c r="K232" s="74">
        <v>0</v>
      </c>
      <c r="L232" s="176" t="s">
        <v>50</v>
      </c>
      <c r="M232" s="176"/>
    </row>
    <row r="233" spans="1:13" ht="45" customHeight="1" x14ac:dyDescent="0.25">
      <c r="A233" s="422"/>
      <c r="B233" s="427"/>
      <c r="C233" s="176" t="s">
        <v>134</v>
      </c>
      <c r="D233" s="84" t="s">
        <v>133</v>
      </c>
      <c r="E233" s="74">
        <v>0</v>
      </c>
      <c r="F233" s="74">
        <f>G233+H233+I233+J233+K233</f>
        <v>10095.200000000001</v>
      </c>
      <c r="G233" s="74">
        <f>3891+6204.2</f>
        <v>10095.200000000001</v>
      </c>
      <c r="H233" s="74">
        <v>0</v>
      </c>
      <c r="I233" s="74">
        <v>0</v>
      </c>
      <c r="J233" s="74">
        <v>0</v>
      </c>
      <c r="K233" s="74">
        <v>0</v>
      </c>
      <c r="L233" s="176" t="s">
        <v>50</v>
      </c>
      <c r="M233" s="176"/>
    </row>
    <row r="234" spans="1:13" ht="45" customHeight="1" x14ac:dyDescent="0.25">
      <c r="A234" s="423"/>
      <c r="B234" s="428"/>
      <c r="C234" s="176" t="s">
        <v>134</v>
      </c>
      <c r="D234" s="84" t="s">
        <v>51</v>
      </c>
      <c r="E234" s="74">
        <v>0</v>
      </c>
      <c r="F234" s="74">
        <f>G234+H234+I234+J234+K234</f>
        <v>0</v>
      </c>
      <c r="G234" s="74">
        <v>0</v>
      </c>
      <c r="H234" s="74">
        <v>0</v>
      </c>
      <c r="I234" s="74">
        <v>0</v>
      </c>
      <c r="J234" s="74">
        <v>0</v>
      </c>
      <c r="K234" s="74">
        <v>0</v>
      </c>
      <c r="L234" s="176" t="s">
        <v>50</v>
      </c>
      <c r="M234" s="176"/>
    </row>
    <row r="235" spans="1:13" ht="45" customHeight="1" x14ac:dyDescent="0.25">
      <c r="A235" s="421" t="s">
        <v>215</v>
      </c>
      <c r="B235" s="426" t="s">
        <v>299</v>
      </c>
      <c r="C235" s="176"/>
      <c r="D235" s="178" t="s">
        <v>49</v>
      </c>
      <c r="E235" s="38">
        <f>E236+E237+E238</f>
        <v>0</v>
      </c>
      <c r="F235" s="38">
        <f t="shared" ref="F235:K235" si="74">F236+F237+F238</f>
        <v>51179.9</v>
      </c>
      <c r="G235" s="38">
        <f t="shared" si="74"/>
        <v>10807.4</v>
      </c>
      <c r="H235" s="276">
        <f t="shared" si="74"/>
        <v>9849.1</v>
      </c>
      <c r="I235" s="38">
        <f t="shared" si="74"/>
        <v>9910.2000000000007</v>
      </c>
      <c r="J235" s="38">
        <f t="shared" si="74"/>
        <v>10306.6</v>
      </c>
      <c r="K235" s="38">
        <f t="shared" si="74"/>
        <v>10306.6</v>
      </c>
      <c r="L235" s="39" t="s">
        <v>50</v>
      </c>
      <c r="M235" s="433"/>
    </row>
    <row r="236" spans="1:13" ht="45" customHeight="1" x14ac:dyDescent="0.25">
      <c r="A236" s="422"/>
      <c r="B236" s="427"/>
      <c r="C236" s="176" t="s">
        <v>134</v>
      </c>
      <c r="D236" s="84" t="s">
        <v>132</v>
      </c>
      <c r="E236" s="74">
        <v>0</v>
      </c>
      <c r="F236" s="74">
        <f>G236+H236+I236+J236+K236</f>
        <v>51179.9</v>
      </c>
      <c r="G236" s="74">
        <f>10895-87.6</f>
        <v>10807.4</v>
      </c>
      <c r="H236" s="281">
        <f>9849.1</f>
        <v>9849.1</v>
      </c>
      <c r="I236" s="74">
        <v>9910.2000000000007</v>
      </c>
      <c r="J236" s="74">
        <v>10306.6</v>
      </c>
      <c r="K236" s="74">
        <v>10306.6</v>
      </c>
      <c r="L236" s="176" t="s">
        <v>50</v>
      </c>
      <c r="M236" s="434"/>
    </row>
    <row r="237" spans="1:13" ht="45" customHeight="1" x14ac:dyDescent="0.25">
      <c r="A237" s="422"/>
      <c r="B237" s="427"/>
      <c r="C237" s="176" t="s">
        <v>134</v>
      </c>
      <c r="D237" s="84" t="s">
        <v>133</v>
      </c>
      <c r="E237" s="74">
        <v>0</v>
      </c>
      <c r="F237" s="74">
        <f>G237+H237+I237+J237+K237</f>
        <v>0</v>
      </c>
      <c r="G237" s="74">
        <v>0</v>
      </c>
      <c r="H237" s="74">
        <v>0</v>
      </c>
      <c r="I237" s="74">
        <v>0</v>
      </c>
      <c r="J237" s="74">
        <v>0</v>
      </c>
      <c r="K237" s="74">
        <v>0</v>
      </c>
      <c r="L237" s="176" t="s">
        <v>50</v>
      </c>
      <c r="M237" s="434"/>
    </row>
    <row r="238" spans="1:13" ht="45" customHeight="1" x14ac:dyDescent="0.25">
      <c r="A238" s="423"/>
      <c r="B238" s="428"/>
      <c r="C238" s="176" t="s">
        <v>134</v>
      </c>
      <c r="D238" s="84" t="s">
        <v>51</v>
      </c>
      <c r="E238" s="74">
        <v>0</v>
      </c>
      <c r="F238" s="74">
        <f>G238+H238+I238+J238+K238</f>
        <v>0</v>
      </c>
      <c r="G238" s="74">
        <v>0</v>
      </c>
      <c r="H238" s="74">
        <v>0</v>
      </c>
      <c r="I238" s="74">
        <v>0</v>
      </c>
      <c r="J238" s="74">
        <v>0</v>
      </c>
      <c r="K238" s="74">
        <v>0</v>
      </c>
      <c r="L238" s="176" t="s">
        <v>50</v>
      </c>
      <c r="M238" s="435"/>
    </row>
    <row r="239" spans="1:13" ht="45" customHeight="1" x14ac:dyDescent="0.25">
      <c r="A239" s="421" t="s">
        <v>276</v>
      </c>
      <c r="B239" s="426" t="s">
        <v>303</v>
      </c>
      <c r="C239" s="176"/>
      <c r="D239" s="178" t="s">
        <v>49</v>
      </c>
      <c r="E239" s="38">
        <f>E240+E241+E242</f>
        <v>0</v>
      </c>
      <c r="F239" s="38">
        <f t="shared" ref="F239:K239" si="75">F240+F241+F242</f>
        <v>10899.099999999999</v>
      </c>
      <c r="G239" s="38">
        <f t="shared" si="75"/>
        <v>2913.8</v>
      </c>
      <c r="H239" s="38">
        <f t="shared" si="75"/>
        <v>1315.7</v>
      </c>
      <c r="I239" s="38">
        <f t="shared" si="75"/>
        <v>2223.1999999999998</v>
      </c>
      <c r="J239" s="38">
        <f t="shared" si="75"/>
        <v>2223.1999999999998</v>
      </c>
      <c r="K239" s="38">
        <f t="shared" si="75"/>
        <v>2223.1999999999998</v>
      </c>
      <c r="L239" s="39" t="s">
        <v>50</v>
      </c>
      <c r="M239" s="433"/>
    </row>
    <row r="240" spans="1:13" ht="45" customHeight="1" x14ac:dyDescent="0.25">
      <c r="A240" s="422"/>
      <c r="B240" s="427"/>
      <c r="C240" s="176" t="s">
        <v>134</v>
      </c>
      <c r="D240" s="84" t="s">
        <v>132</v>
      </c>
      <c r="E240" s="74">
        <v>0</v>
      </c>
      <c r="F240" s="74">
        <f>G240+H240+I240+J240+K240</f>
        <v>10899.099999999999</v>
      </c>
      <c r="G240" s="74">
        <f>5221.8-308-2000</f>
        <v>2913.8</v>
      </c>
      <c r="H240" s="281">
        <v>1315.7</v>
      </c>
      <c r="I240" s="74">
        <v>2223.1999999999998</v>
      </c>
      <c r="J240" s="74">
        <v>2223.1999999999998</v>
      </c>
      <c r="K240" s="74">
        <v>2223.1999999999998</v>
      </c>
      <c r="L240" s="176" t="s">
        <v>50</v>
      </c>
      <c r="M240" s="434"/>
    </row>
    <row r="241" spans="1:13" ht="45" customHeight="1" x14ac:dyDescent="0.25">
      <c r="A241" s="422"/>
      <c r="B241" s="427"/>
      <c r="C241" s="176" t="s">
        <v>134</v>
      </c>
      <c r="D241" s="84" t="s">
        <v>133</v>
      </c>
      <c r="E241" s="74">
        <v>0</v>
      </c>
      <c r="F241" s="74">
        <f>G241+H241+I241+J241+K241</f>
        <v>0</v>
      </c>
      <c r="G241" s="74">
        <v>0</v>
      </c>
      <c r="H241" s="74">
        <v>0</v>
      </c>
      <c r="I241" s="74">
        <v>0</v>
      </c>
      <c r="J241" s="74">
        <v>0</v>
      </c>
      <c r="K241" s="74">
        <v>0</v>
      </c>
      <c r="L241" s="176" t="s">
        <v>50</v>
      </c>
      <c r="M241" s="434"/>
    </row>
    <row r="242" spans="1:13" ht="45" customHeight="1" x14ac:dyDescent="0.25">
      <c r="A242" s="423"/>
      <c r="B242" s="428"/>
      <c r="C242" s="176" t="s">
        <v>134</v>
      </c>
      <c r="D242" s="84" t="s">
        <v>51</v>
      </c>
      <c r="E242" s="74">
        <v>0</v>
      </c>
      <c r="F242" s="74">
        <f>G242+H242+I242+J242+K242</f>
        <v>0</v>
      </c>
      <c r="G242" s="74">
        <v>0</v>
      </c>
      <c r="H242" s="74">
        <v>0</v>
      </c>
      <c r="I242" s="74">
        <v>0</v>
      </c>
      <c r="J242" s="74">
        <v>0</v>
      </c>
      <c r="K242" s="74">
        <v>0</v>
      </c>
      <c r="L242" s="176" t="s">
        <v>50</v>
      </c>
      <c r="M242" s="435"/>
    </row>
    <row r="243" spans="1:13" ht="45" customHeight="1" x14ac:dyDescent="0.25">
      <c r="A243" s="421" t="s">
        <v>277</v>
      </c>
      <c r="B243" s="426" t="s">
        <v>307</v>
      </c>
      <c r="C243" s="176"/>
      <c r="D243" s="178" t="s">
        <v>49</v>
      </c>
      <c r="E243" s="38">
        <f>E244+E245+E246</f>
        <v>0</v>
      </c>
      <c r="F243" s="38">
        <f t="shared" ref="F243:K243" si="76">F244+F245+F246</f>
        <v>3305.2</v>
      </c>
      <c r="G243" s="38">
        <f t="shared" si="76"/>
        <v>505.19999999999993</v>
      </c>
      <c r="H243" s="38">
        <f t="shared" si="76"/>
        <v>700</v>
      </c>
      <c r="I243" s="38">
        <f t="shared" si="76"/>
        <v>700</v>
      </c>
      <c r="J243" s="38">
        <f t="shared" si="76"/>
        <v>700</v>
      </c>
      <c r="K243" s="38">
        <f t="shared" si="76"/>
        <v>700</v>
      </c>
      <c r="L243" s="39" t="s">
        <v>50</v>
      </c>
      <c r="M243" s="433"/>
    </row>
    <row r="244" spans="1:13" ht="45" customHeight="1" x14ac:dyDescent="0.25">
      <c r="A244" s="422"/>
      <c r="B244" s="427"/>
      <c r="C244" s="176" t="s">
        <v>134</v>
      </c>
      <c r="D244" s="84" t="s">
        <v>132</v>
      </c>
      <c r="E244" s="74">
        <v>0</v>
      </c>
      <c r="F244" s="74">
        <f>G244+H244+I244+J244+K244</f>
        <v>3305.2</v>
      </c>
      <c r="G244" s="74">
        <f>700-0.2-194.6</f>
        <v>505.19999999999993</v>
      </c>
      <c r="H244" s="74">
        <v>700</v>
      </c>
      <c r="I244" s="74">
        <v>700</v>
      </c>
      <c r="J244" s="74">
        <v>700</v>
      </c>
      <c r="K244" s="74">
        <v>700</v>
      </c>
      <c r="L244" s="176" t="s">
        <v>50</v>
      </c>
      <c r="M244" s="434"/>
    </row>
    <row r="245" spans="1:13" ht="45" customHeight="1" x14ac:dyDescent="0.25">
      <c r="A245" s="422"/>
      <c r="B245" s="427"/>
      <c r="C245" s="176" t="s">
        <v>134</v>
      </c>
      <c r="D245" s="84" t="s">
        <v>133</v>
      </c>
      <c r="E245" s="74">
        <v>0</v>
      </c>
      <c r="F245" s="74">
        <f>G245+H245+I245+J245+K245</f>
        <v>0</v>
      </c>
      <c r="G245" s="74">
        <v>0</v>
      </c>
      <c r="H245" s="74">
        <v>0</v>
      </c>
      <c r="I245" s="74">
        <v>0</v>
      </c>
      <c r="J245" s="74">
        <v>0</v>
      </c>
      <c r="K245" s="74">
        <v>0</v>
      </c>
      <c r="L245" s="176" t="s">
        <v>50</v>
      </c>
      <c r="M245" s="434"/>
    </row>
    <row r="246" spans="1:13" ht="45" customHeight="1" x14ac:dyDescent="0.25">
      <c r="A246" s="423"/>
      <c r="B246" s="428"/>
      <c r="C246" s="176" t="s">
        <v>134</v>
      </c>
      <c r="D246" s="84" t="s">
        <v>51</v>
      </c>
      <c r="E246" s="74">
        <v>0</v>
      </c>
      <c r="F246" s="74">
        <f>G246+H246+I246+J246+K246</f>
        <v>0</v>
      </c>
      <c r="G246" s="74">
        <v>0</v>
      </c>
      <c r="H246" s="74">
        <v>0</v>
      </c>
      <c r="I246" s="74">
        <v>0</v>
      </c>
      <c r="J246" s="74">
        <v>0</v>
      </c>
      <c r="K246" s="74">
        <v>0</v>
      </c>
      <c r="L246" s="176" t="s">
        <v>50</v>
      </c>
      <c r="M246" s="435"/>
    </row>
    <row r="247" spans="1:13" ht="45" customHeight="1" x14ac:dyDescent="0.25">
      <c r="A247" s="421" t="s">
        <v>278</v>
      </c>
      <c r="B247" s="426" t="s">
        <v>274</v>
      </c>
      <c r="C247" s="176"/>
      <c r="D247" s="178" t="s">
        <v>49</v>
      </c>
      <c r="E247" s="38">
        <f>E248+E249+E250</f>
        <v>0</v>
      </c>
      <c r="F247" s="38">
        <f t="shared" ref="F247:K247" si="77">F248+F249+F250</f>
        <v>8623.2000000000007</v>
      </c>
      <c r="G247" s="38">
        <f t="shared" si="77"/>
        <v>1175.3</v>
      </c>
      <c r="H247" s="38">
        <f t="shared" si="77"/>
        <v>1114.5</v>
      </c>
      <c r="I247" s="38">
        <f t="shared" si="77"/>
        <v>1582.1</v>
      </c>
      <c r="J247" s="38">
        <f t="shared" si="77"/>
        <v>1582.1</v>
      </c>
      <c r="K247" s="38">
        <f t="shared" si="77"/>
        <v>3169.2</v>
      </c>
      <c r="L247" s="39" t="s">
        <v>50</v>
      </c>
      <c r="M247" s="433"/>
    </row>
    <row r="248" spans="1:13" ht="45" customHeight="1" x14ac:dyDescent="0.25">
      <c r="A248" s="422"/>
      <c r="B248" s="427"/>
      <c r="C248" s="176" t="s">
        <v>134</v>
      </c>
      <c r="D248" s="84" t="s">
        <v>132</v>
      </c>
      <c r="E248" s="74">
        <v>0</v>
      </c>
      <c r="F248" s="74">
        <f>G248+H248+I248+J248+K248</f>
        <v>8623.2000000000007</v>
      </c>
      <c r="G248" s="74">
        <f>1170.3-200+200+5</f>
        <v>1175.3</v>
      </c>
      <c r="H248" s="281">
        <v>1114.5</v>
      </c>
      <c r="I248" s="74">
        <v>1582.1</v>
      </c>
      <c r="J248" s="74">
        <v>1582.1</v>
      </c>
      <c r="K248" s="74">
        <v>3169.2</v>
      </c>
      <c r="L248" s="176" t="s">
        <v>50</v>
      </c>
      <c r="M248" s="434"/>
    </row>
    <row r="249" spans="1:13" ht="45" customHeight="1" x14ac:dyDescent="0.25">
      <c r="A249" s="422"/>
      <c r="B249" s="427"/>
      <c r="C249" s="176" t="s">
        <v>134</v>
      </c>
      <c r="D249" s="84" t="s">
        <v>133</v>
      </c>
      <c r="E249" s="74">
        <v>0</v>
      </c>
      <c r="F249" s="74">
        <f>G249+H249+I249+J249+K249</f>
        <v>0</v>
      </c>
      <c r="G249" s="74">
        <v>0</v>
      </c>
      <c r="H249" s="74">
        <v>0</v>
      </c>
      <c r="I249" s="74">
        <v>0</v>
      </c>
      <c r="J249" s="74">
        <v>0</v>
      </c>
      <c r="K249" s="74">
        <v>0</v>
      </c>
      <c r="L249" s="176" t="s">
        <v>50</v>
      </c>
      <c r="M249" s="434"/>
    </row>
    <row r="250" spans="1:13" ht="45" customHeight="1" x14ac:dyDescent="0.25">
      <c r="A250" s="423"/>
      <c r="B250" s="428"/>
      <c r="C250" s="176" t="s">
        <v>134</v>
      </c>
      <c r="D250" s="84" t="s">
        <v>51</v>
      </c>
      <c r="E250" s="74">
        <v>0</v>
      </c>
      <c r="F250" s="74">
        <f>G250+H250+I250+J250+K250</f>
        <v>0</v>
      </c>
      <c r="G250" s="74">
        <v>0</v>
      </c>
      <c r="H250" s="74">
        <v>0</v>
      </c>
      <c r="I250" s="74">
        <v>0</v>
      </c>
      <c r="J250" s="74">
        <v>0</v>
      </c>
      <c r="K250" s="74">
        <v>0</v>
      </c>
      <c r="L250" s="176" t="s">
        <v>50</v>
      </c>
      <c r="M250" s="435"/>
    </row>
    <row r="251" spans="1:13" ht="45" customHeight="1" x14ac:dyDescent="0.25">
      <c r="A251" s="421" t="s">
        <v>279</v>
      </c>
      <c r="B251" s="426" t="s">
        <v>267</v>
      </c>
      <c r="C251" s="176"/>
      <c r="D251" s="178" t="s">
        <v>49</v>
      </c>
      <c r="E251" s="38">
        <f>E252+E253+E254</f>
        <v>0</v>
      </c>
      <c r="F251" s="38">
        <f t="shared" ref="F251:K251" si="78">F252+F253+F254</f>
        <v>135</v>
      </c>
      <c r="G251" s="38">
        <f t="shared" si="78"/>
        <v>0</v>
      </c>
      <c r="H251" s="38">
        <f t="shared" si="78"/>
        <v>0</v>
      </c>
      <c r="I251" s="38">
        <f t="shared" si="78"/>
        <v>45</v>
      </c>
      <c r="J251" s="38">
        <f t="shared" si="78"/>
        <v>45</v>
      </c>
      <c r="K251" s="38">
        <f t="shared" si="78"/>
        <v>45</v>
      </c>
      <c r="L251" s="39" t="s">
        <v>50</v>
      </c>
      <c r="M251" s="433"/>
    </row>
    <row r="252" spans="1:13" ht="45" customHeight="1" x14ac:dyDescent="0.25">
      <c r="A252" s="422"/>
      <c r="B252" s="427"/>
      <c r="C252" s="176" t="s">
        <v>134</v>
      </c>
      <c r="D252" s="84" t="s">
        <v>132</v>
      </c>
      <c r="E252" s="74">
        <v>0</v>
      </c>
      <c r="F252" s="74">
        <f>G252+H252+I252+J252+K252</f>
        <v>135</v>
      </c>
      <c r="G252" s="74">
        <f>200-200</f>
        <v>0</v>
      </c>
      <c r="H252" s="74">
        <v>0</v>
      </c>
      <c r="I252" s="74">
        <v>45</v>
      </c>
      <c r="J252" s="74">
        <v>45</v>
      </c>
      <c r="K252" s="74">
        <v>45</v>
      </c>
      <c r="L252" s="176" t="s">
        <v>50</v>
      </c>
      <c r="M252" s="434"/>
    </row>
    <row r="253" spans="1:13" ht="45" customHeight="1" x14ac:dyDescent="0.25">
      <c r="A253" s="422"/>
      <c r="B253" s="427"/>
      <c r="C253" s="176" t="s">
        <v>134</v>
      </c>
      <c r="D253" s="84" t="s">
        <v>133</v>
      </c>
      <c r="E253" s="74">
        <v>0</v>
      </c>
      <c r="F253" s="74">
        <f>G253+H253+I253+J253+K253</f>
        <v>0</v>
      </c>
      <c r="G253" s="74">
        <v>0</v>
      </c>
      <c r="H253" s="74">
        <v>0</v>
      </c>
      <c r="I253" s="74">
        <v>0</v>
      </c>
      <c r="J253" s="74">
        <v>0</v>
      </c>
      <c r="K253" s="74">
        <v>0</v>
      </c>
      <c r="L253" s="176" t="s">
        <v>50</v>
      </c>
      <c r="M253" s="434"/>
    </row>
    <row r="254" spans="1:13" ht="45" customHeight="1" x14ac:dyDescent="0.25">
      <c r="A254" s="423"/>
      <c r="B254" s="428"/>
      <c r="C254" s="176" t="s">
        <v>134</v>
      </c>
      <c r="D254" s="84" t="s">
        <v>51</v>
      </c>
      <c r="E254" s="74">
        <v>0</v>
      </c>
      <c r="F254" s="74">
        <f>G254+H254+I254+J254+K254</f>
        <v>0</v>
      </c>
      <c r="G254" s="74">
        <v>0</v>
      </c>
      <c r="H254" s="74">
        <v>0</v>
      </c>
      <c r="I254" s="74">
        <v>0</v>
      </c>
      <c r="J254" s="74">
        <v>0</v>
      </c>
      <c r="K254" s="74">
        <v>0</v>
      </c>
      <c r="L254" s="176" t="s">
        <v>50</v>
      </c>
      <c r="M254" s="435"/>
    </row>
    <row r="255" spans="1:13" ht="45" customHeight="1" x14ac:dyDescent="0.25">
      <c r="A255" s="421" t="s">
        <v>280</v>
      </c>
      <c r="B255" s="426" t="s">
        <v>271</v>
      </c>
      <c r="C255" s="176"/>
      <c r="D255" s="178" t="s">
        <v>49</v>
      </c>
      <c r="E255" s="38">
        <f>E256+E257+E258</f>
        <v>0</v>
      </c>
      <c r="F255" s="38">
        <f t="shared" ref="F255:K255" si="79">F256+F257+F258</f>
        <v>1305</v>
      </c>
      <c r="G255" s="38">
        <f t="shared" si="79"/>
        <v>200</v>
      </c>
      <c r="H255" s="38">
        <f t="shared" si="79"/>
        <v>95</v>
      </c>
      <c r="I255" s="38">
        <f t="shared" si="79"/>
        <v>200</v>
      </c>
      <c r="J255" s="38">
        <f t="shared" si="79"/>
        <v>405</v>
      </c>
      <c r="K255" s="38">
        <f t="shared" si="79"/>
        <v>405</v>
      </c>
      <c r="L255" s="39" t="s">
        <v>50</v>
      </c>
      <c r="M255" s="433"/>
    </row>
    <row r="256" spans="1:13" ht="45" customHeight="1" x14ac:dyDescent="0.25">
      <c r="A256" s="422"/>
      <c r="B256" s="427"/>
      <c r="C256" s="176" t="s">
        <v>134</v>
      </c>
      <c r="D256" s="84" t="s">
        <v>132</v>
      </c>
      <c r="E256" s="74">
        <v>0</v>
      </c>
      <c r="F256" s="74">
        <f>G256+H256+I256+J256+K256</f>
        <v>1305</v>
      </c>
      <c r="G256" s="74">
        <f>267-67</f>
        <v>200</v>
      </c>
      <c r="H256" s="281">
        <v>95</v>
      </c>
      <c r="I256" s="74">
        <v>200</v>
      </c>
      <c r="J256" s="74">
        <v>405</v>
      </c>
      <c r="K256" s="74">
        <v>405</v>
      </c>
      <c r="L256" s="176" t="s">
        <v>50</v>
      </c>
      <c r="M256" s="434"/>
    </row>
    <row r="257" spans="1:13" ht="45" customHeight="1" x14ac:dyDescent="0.25">
      <c r="A257" s="422"/>
      <c r="B257" s="427"/>
      <c r="C257" s="176" t="s">
        <v>134</v>
      </c>
      <c r="D257" s="84" t="s">
        <v>133</v>
      </c>
      <c r="E257" s="74">
        <v>0</v>
      </c>
      <c r="F257" s="74">
        <f>G257+H257+I257+J257+K257</f>
        <v>0</v>
      </c>
      <c r="G257" s="74">
        <v>0</v>
      </c>
      <c r="H257" s="74">
        <v>0</v>
      </c>
      <c r="I257" s="74">
        <v>0</v>
      </c>
      <c r="J257" s="74">
        <v>0</v>
      </c>
      <c r="K257" s="74">
        <v>0</v>
      </c>
      <c r="L257" s="176" t="s">
        <v>50</v>
      </c>
      <c r="M257" s="434"/>
    </row>
    <row r="258" spans="1:13" ht="45" customHeight="1" x14ac:dyDescent="0.25">
      <c r="A258" s="423"/>
      <c r="B258" s="428"/>
      <c r="C258" s="176" t="s">
        <v>134</v>
      </c>
      <c r="D258" s="84" t="s">
        <v>51</v>
      </c>
      <c r="E258" s="74">
        <v>0</v>
      </c>
      <c r="F258" s="74">
        <f>G258+H258+I258+J258+K258</f>
        <v>0</v>
      </c>
      <c r="G258" s="74">
        <v>0</v>
      </c>
      <c r="H258" s="74">
        <v>0</v>
      </c>
      <c r="I258" s="74">
        <v>0</v>
      </c>
      <c r="J258" s="74">
        <v>0</v>
      </c>
      <c r="K258" s="74">
        <v>0</v>
      </c>
      <c r="L258" s="176" t="s">
        <v>50</v>
      </c>
      <c r="M258" s="435"/>
    </row>
    <row r="259" spans="1:13" ht="45" customHeight="1" x14ac:dyDescent="0.25">
      <c r="A259" s="421" t="s">
        <v>281</v>
      </c>
      <c r="B259" s="426" t="s">
        <v>269</v>
      </c>
      <c r="C259" s="176"/>
      <c r="D259" s="178" t="s">
        <v>49</v>
      </c>
      <c r="E259" s="38">
        <f>E260+E261+E262</f>
        <v>0</v>
      </c>
      <c r="F259" s="38">
        <f t="shared" ref="F259:K259" si="80">F260+F261+F262</f>
        <v>1470</v>
      </c>
      <c r="G259" s="38">
        <f t="shared" si="80"/>
        <v>260</v>
      </c>
      <c r="H259" s="38">
        <f t="shared" si="80"/>
        <v>200</v>
      </c>
      <c r="I259" s="38">
        <f t="shared" si="80"/>
        <v>200</v>
      </c>
      <c r="J259" s="38">
        <f t="shared" si="80"/>
        <v>405</v>
      </c>
      <c r="K259" s="38">
        <f t="shared" si="80"/>
        <v>405</v>
      </c>
      <c r="L259" s="39" t="s">
        <v>50</v>
      </c>
      <c r="M259" s="433"/>
    </row>
    <row r="260" spans="1:13" ht="45" customHeight="1" x14ac:dyDescent="0.25">
      <c r="A260" s="422"/>
      <c r="B260" s="427"/>
      <c r="C260" s="176" t="s">
        <v>134</v>
      </c>
      <c r="D260" s="84" t="s">
        <v>132</v>
      </c>
      <c r="E260" s="74">
        <v>0</v>
      </c>
      <c r="F260" s="74">
        <f>G260+H260+I260+J260+K260</f>
        <v>1470</v>
      </c>
      <c r="G260" s="74">
        <f>200+60</f>
        <v>260</v>
      </c>
      <c r="H260" s="281">
        <v>200</v>
      </c>
      <c r="I260" s="74">
        <v>200</v>
      </c>
      <c r="J260" s="74">
        <v>405</v>
      </c>
      <c r="K260" s="74">
        <v>405</v>
      </c>
      <c r="L260" s="176" t="s">
        <v>50</v>
      </c>
      <c r="M260" s="434"/>
    </row>
    <row r="261" spans="1:13" ht="45" customHeight="1" x14ac:dyDescent="0.25">
      <c r="A261" s="422"/>
      <c r="B261" s="427"/>
      <c r="C261" s="176" t="s">
        <v>134</v>
      </c>
      <c r="D261" s="84" t="s">
        <v>133</v>
      </c>
      <c r="E261" s="74">
        <v>0</v>
      </c>
      <c r="F261" s="74">
        <f>G261+H261+I261+J261+K261</f>
        <v>0</v>
      </c>
      <c r="G261" s="74">
        <v>0</v>
      </c>
      <c r="H261" s="74">
        <v>0</v>
      </c>
      <c r="I261" s="74">
        <v>0</v>
      </c>
      <c r="J261" s="74">
        <v>0</v>
      </c>
      <c r="K261" s="74">
        <v>0</v>
      </c>
      <c r="L261" s="176" t="s">
        <v>50</v>
      </c>
      <c r="M261" s="434"/>
    </row>
    <row r="262" spans="1:13" ht="45" customHeight="1" x14ac:dyDescent="0.25">
      <c r="A262" s="423"/>
      <c r="B262" s="428"/>
      <c r="C262" s="176" t="s">
        <v>134</v>
      </c>
      <c r="D262" s="84" t="s">
        <v>51</v>
      </c>
      <c r="E262" s="74">
        <v>0</v>
      </c>
      <c r="F262" s="74">
        <f>G262+H262+I262+J262+K262</f>
        <v>0</v>
      </c>
      <c r="G262" s="74">
        <v>0</v>
      </c>
      <c r="H262" s="74">
        <v>0</v>
      </c>
      <c r="I262" s="74">
        <v>0</v>
      </c>
      <c r="J262" s="74">
        <v>0</v>
      </c>
      <c r="K262" s="74">
        <v>0</v>
      </c>
      <c r="L262" s="176" t="s">
        <v>50</v>
      </c>
      <c r="M262" s="435"/>
    </row>
    <row r="263" spans="1:13" ht="45" customHeight="1" x14ac:dyDescent="0.25">
      <c r="A263" s="421" t="s">
        <v>282</v>
      </c>
      <c r="B263" s="426" t="s">
        <v>270</v>
      </c>
      <c r="C263" s="176"/>
      <c r="D263" s="178" t="s">
        <v>49</v>
      </c>
      <c r="E263" s="38">
        <f>E264+E265+E266</f>
        <v>0</v>
      </c>
      <c r="F263" s="38">
        <f t="shared" ref="F263:K263" si="81">F264+F265+F266</f>
        <v>6980.6</v>
      </c>
      <c r="G263" s="38">
        <f t="shared" si="81"/>
        <v>1000.3999999999999</v>
      </c>
      <c r="H263" s="38">
        <f t="shared" si="81"/>
        <v>1480.2</v>
      </c>
      <c r="I263" s="38">
        <f t="shared" si="81"/>
        <v>0</v>
      </c>
      <c r="J263" s="38">
        <f t="shared" si="81"/>
        <v>2250</v>
      </c>
      <c r="K263" s="38">
        <f t="shared" si="81"/>
        <v>2250</v>
      </c>
      <c r="L263" s="39" t="s">
        <v>50</v>
      </c>
      <c r="M263" s="433"/>
    </row>
    <row r="264" spans="1:13" ht="45" customHeight="1" x14ac:dyDescent="0.25">
      <c r="A264" s="422"/>
      <c r="B264" s="427"/>
      <c r="C264" s="176" t="s">
        <v>134</v>
      </c>
      <c r="D264" s="84" t="s">
        <v>132</v>
      </c>
      <c r="E264" s="74">
        <v>0</v>
      </c>
      <c r="F264" s="74">
        <f>G264+H264+I264+J264+K264</f>
        <v>6980.6</v>
      </c>
      <c r="G264" s="74">
        <f>2050-200-202.5-84.9-62-150.7-10.5-339</f>
        <v>1000.3999999999999</v>
      </c>
      <c r="H264" s="281">
        <v>1480.2</v>
      </c>
      <c r="I264" s="74">
        <v>0</v>
      </c>
      <c r="J264" s="74">
        <v>2250</v>
      </c>
      <c r="K264" s="74">
        <v>2250</v>
      </c>
      <c r="L264" s="176" t="s">
        <v>50</v>
      </c>
      <c r="M264" s="434"/>
    </row>
    <row r="265" spans="1:13" ht="45" customHeight="1" x14ac:dyDescent="0.25">
      <c r="A265" s="422"/>
      <c r="B265" s="427"/>
      <c r="C265" s="176" t="s">
        <v>134</v>
      </c>
      <c r="D265" s="84" t="s">
        <v>133</v>
      </c>
      <c r="E265" s="74">
        <v>0</v>
      </c>
      <c r="F265" s="74">
        <f>G265+H265+I265+J265+K265</f>
        <v>0</v>
      </c>
      <c r="G265" s="74">
        <v>0</v>
      </c>
      <c r="H265" s="74">
        <v>0</v>
      </c>
      <c r="I265" s="74">
        <v>0</v>
      </c>
      <c r="J265" s="74">
        <v>0</v>
      </c>
      <c r="K265" s="74">
        <v>0</v>
      </c>
      <c r="L265" s="176" t="s">
        <v>50</v>
      </c>
      <c r="M265" s="434"/>
    </row>
    <row r="266" spans="1:13" ht="45" customHeight="1" x14ac:dyDescent="0.25">
      <c r="A266" s="423"/>
      <c r="B266" s="428"/>
      <c r="C266" s="176" t="s">
        <v>134</v>
      </c>
      <c r="D266" s="84" t="s">
        <v>51</v>
      </c>
      <c r="E266" s="74">
        <v>0</v>
      </c>
      <c r="F266" s="74">
        <f>G266+H266+I266+J266+K266</f>
        <v>0</v>
      </c>
      <c r="G266" s="74">
        <v>0</v>
      </c>
      <c r="H266" s="74">
        <v>0</v>
      </c>
      <c r="I266" s="74">
        <v>0</v>
      </c>
      <c r="J266" s="74">
        <v>0</v>
      </c>
      <c r="K266" s="74">
        <v>0</v>
      </c>
      <c r="L266" s="176" t="s">
        <v>50</v>
      </c>
      <c r="M266" s="435"/>
    </row>
    <row r="267" spans="1:13" ht="45" customHeight="1" x14ac:dyDescent="0.25">
      <c r="A267" s="421" t="s">
        <v>283</v>
      </c>
      <c r="B267" s="426" t="s">
        <v>294</v>
      </c>
      <c r="C267" s="176"/>
      <c r="D267" s="178" t="s">
        <v>49</v>
      </c>
      <c r="E267" s="38">
        <f t="shared" ref="E267:K267" si="82">E268+E269+E270</f>
        <v>0</v>
      </c>
      <c r="F267" s="38">
        <f t="shared" si="82"/>
        <v>113.8</v>
      </c>
      <c r="G267" s="38">
        <f t="shared" si="82"/>
        <v>9.9</v>
      </c>
      <c r="H267" s="38">
        <f t="shared" si="82"/>
        <v>13.9</v>
      </c>
      <c r="I267" s="38">
        <f t="shared" si="82"/>
        <v>30</v>
      </c>
      <c r="J267" s="38">
        <f t="shared" si="82"/>
        <v>30</v>
      </c>
      <c r="K267" s="38">
        <f t="shared" si="82"/>
        <v>30</v>
      </c>
      <c r="L267" s="39" t="s">
        <v>50</v>
      </c>
      <c r="M267" s="433"/>
    </row>
    <row r="268" spans="1:13" ht="45" customHeight="1" x14ac:dyDescent="0.25">
      <c r="A268" s="422"/>
      <c r="B268" s="427"/>
      <c r="C268" s="176" t="s">
        <v>134</v>
      </c>
      <c r="D268" s="84" t="s">
        <v>132</v>
      </c>
      <c r="E268" s="74">
        <v>0</v>
      </c>
      <c r="F268" s="74">
        <f>G268+H268+I268+J268+K268</f>
        <v>113.8</v>
      </c>
      <c r="G268" s="74">
        <f>20-10.1</f>
        <v>9.9</v>
      </c>
      <c r="H268" s="281">
        <v>13.9</v>
      </c>
      <c r="I268" s="74">
        <v>30</v>
      </c>
      <c r="J268" s="74">
        <v>30</v>
      </c>
      <c r="K268" s="74">
        <v>30</v>
      </c>
      <c r="L268" s="176" t="s">
        <v>50</v>
      </c>
      <c r="M268" s="434"/>
    </row>
    <row r="269" spans="1:13" ht="45" customHeight="1" x14ac:dyDescent="0.25">
      <c r="A269" s="422"/>
      <c r="B269" s="427"/>
      <c r="C269" s="176" t="s">
        <v>134</v>
      </c>
      <c r="D269" s="84" t="s">
        <v>133</v>
      </c>
      <c r="E269" s="74">
        <v>0</v>
      </c>
      <c r="F269" s="74">
        <f>G269+H269+I269+J269+K269</f>
        <v>0</v>
      </c>
      <c r="G269" s="74">
        <v>0</v>
      </c>
      <c r="H269" s="74">
        <v>0</v>
      </c>
      <c r="I269" s="74">
        <v>0</v>
      </c>
      <c r="J269" s="74">
        <v>0</v>
      </c>
      <c r="K269" s="74">
        <v>0</v>
      </c>
      <c r="L269" s="176" t="s">
        <v>50</v>
      </c>
      <c r="M269" s="434"/>
    </row>
    <row r="270" spans="1:13" ht="45" customHeight="1" x14ac:dyDescent="0.25">
      <c r="A270" s="423"/>
      <c r="B270" s="428"/>
      <c r="C270" s="176" t="s">
        <v>134</v>
      </c>
      <c r="D270" s="84" t="s">
        <v>51</v>
      </c>
      <c r="E270" s="74">
        <v>0</v>
      </c>
      <c r="F270" s="74">
        <f>G270+H270+I270+J270+K270</f>
        <v>0</v>
      </c>
      <c r="G270" s="74">
        <v>0</v>
      </c>
      <c r="H270" s="74">
        <v>0</v>
      </c>
      <c r="I270" s="74">
        <v>0</v>
      </c>
      <c r="J270" s="74">
        <v>0</v>
      </c>
      <c r="K270" s="74">
        <v>0</v>
      </c>
      <c r="L270" s="176" t="s">
        <v>50</v>
      </c>
      <c r="M270" s="435"/>
    </row>
    <row r="271" spans="1:13" ht="45" customHeight="1" x14ac:dyDescent="0.25">
      <c r="A271" s="421" t="s">
        <v>290</v>
      </c>
      <c r="B271" s="426" t="s">
        <v>272</v>
      </c>
      <c r="C271" s="176"/>
      <c r="D271" s="178" t="s">
        <v>49</v>
      </c>
      <c r="E271" s="38">
        <f t="shared" ref="E271:K271" si="83">E272+E273+E274</f>
        <v>0</v>
      </c>
      <c r="F271" s="38">
        <f t="shared" si="83"/>
        <v>744.7</v>
      </c>
      <c r="G271" s="38">
        <f t="shared" si="83"/>
        <v>50</v>
      </c>
      <c r="H271" s="38">
        <f t="shared" si="83"/>
        <v>144.69999999999999</v>
      </c>
      <c r="I271" s="38">
        <f t="shared" si="83"/>
        <v>150</v>
      </c>
      <c r="J271" s="38">
        <f t="shared" si="83"/>
        <v>200</v>
      </c>
      <c r="K271" s="38">
        <f t="shared" si="83"/>
        <v>200</v>
      </c>
      <c r="L271" s="39" t="s">
        <v>50</v>
      </c>
      <c r="M271" s="433"/>
    </row>
    <row r="272" spans="1:13" ht="45" customHeight="1" x14ac:dyDescent="0.25">
      <c r="A272" s="422"/>
      <c r="B272" s="427"/>
      <c r="C272" s="176" t="s">
        <v>134</v>
      </c>
      <c r="D272" s="84" t="s">
        <v>132</v>
      </c>
      <c r="E272" s="74">
        <v>0</v>
      </c>
      <c r="F272" s="74">
        <f>G272+H272+I272+J272+K272</f>
        <v>744.7</v>
      </c>
      <c r="G272" s="74">
        <f>50</f>
        <v>50</v>
      </c>
      <c r="H272" s="281">
        <f>150-5.3</f>
        <v>144.69999999999999</v>
      </c>
      <c r="I272" s="74">
        <v>150</v>
      </c>
      <c r="J272" s="74">
        <v>200</v>
      </c>
      <c r="K272" s="74">
        <v>200</v>
      </c>
      <c r="L272" s="176" t="s">
        <v>50</v>
      </c>
      <c r="M272" s="434"/>
    </row>
    <row r="273" spans="1:13" ht="45" customHeight="1" x14ac:dyDescent="0.25">
      <c r="A273" s="422"/>
      <c r="B273" s="427"/>
      <c r="C273" s="176" t="s">
        <v>134</v>
      </c>
      <c r="D273" s="84" t="s">
        <v>133</v>
      </c>
      <c r="E273" s="74">
        <v>0</v>
      </c>
      <c r="F273" s="74">
        <f>G273+H273+I273+J273+K273</f>
        <v>0</v>
      </c>
      <c r="G273" s="74">
        <v>0</v>
      </c>
      <c r="H273" s="74">
        <v>0</v>
      </c>
      <c r="I273" s="74">
        <v>0</v>
      </c>
      <c r="J273" s="74">
        <v>0</v>
      </c>
      <c r="K273" s="74">
        <v>0</v>
      </c>
      <c r="L273" s="176" t="s">
        <v>50</v>
      </c>
      <c r="M273" s="434"/>
    </row>
    <row r="274" spans="1:13" ht="45" customHeight="1" x14ac:dyDescent="0.25">
      <c r="A274" s="423"/>
      <c r="B274" s="428"/>
      <c r="C274" s="176" t="s">
        <v>134</v>
      </c>
      <c r="D274" s="84" t="s">
        <v>51</v>
      </c>
      <c r="E274" s="74">
        <v>0</v>
      </c>
      <c r="F274" s="74">
        <f>G274+H274+I274+J274+K274</f>
        <v>0</v>
      </c>
      <c r="G274" s="74">
        <v>0</v>
      </c>
      <c r="H274" s="74">
        <v>0</v>
      </c>
      <c r="I274" s="74">
        <v>0</v>
      </c>
      <c r="J274" s="74">
        <v>0</v>
      </c>
      <c r="K274" s="74">
        <v>0</v>
      </c>
      <c r="L274" s="176" t="s">
        <v>50</v>
      </c>
      <c r="M274" s="435"/>
    </row>
    <row r="275" spans="1:13" ht="45" customHeight="1" x14ac:dyDescent="0.25">
      <c r="A275" s="421" t="s">
        <v>291</v>
      </c>
      <c r="B275" s="426" t="s">
        <v>273</v>
      </c>
      <c r="C275" s="176"/>
      <c r="D275" s="178" t="s">
        <v>49</v>
      </c>
      <c r="E275" s="38">
        <f t="shared" ref="E275:K275" si="84">E276+E277+E278</f>
        <v>0</v>
      </c>
      <c r="F275" s="38">
        <f t="shared" si="84"/>
        <v>1400</v>
      </c>
      <c r="G275" s="38">
        <f t="shared" si="84"/>
        <v>600</v>
      </c>
      <c r="H275" s="38">
        <f t="shared" si="84"/>
        <v>200</v>
      </c>
      <c r="I275" s="38">
        <f t="shared" si="84"/>
        <v>200</v>
      </c>
      <c r="J275" s="38">
        <f t="shared" si="84"/>
        <v>200</v>
      </c>
      <c r="K275" s="38">
        <f t="shared" si="84"/>
        <v>200</v>
      </c>
      <c r="L275" s="39" t="s">
        <v>50</v>
      </c>
      <c r="M275" s="433"/>
    </row>
    <row r="276" spans="1:13" ht="45" customHeight="1" x14ac:dyDescent="0.25">
      <c r="A276" s="422"/>
      <c r="B276" s="427"/>
      <c r="C276" s="176" t="s">
        <v>134</v>
      </c>
      <c r="D276" s="84" t="s">
        <v>132</v>
      </c>
      <c r="E276" s="74">
        <v>0</v>
      </c>
      <c r="F276" s="74">
        <f>G276+H276+I276+J276+K276</f>
        <v>1400</v>
      </c>
      <c r="G276" s="74">
        <f>200+400</f>
        <v>600</v>
      </c>
      <c r="H276" s="281">
        <v>200</v>
      </c>
      <c r="I276" s="74">
        <v>200</v>
      </c>
      <c r="J276" s="74">
        <v>200</v>
      </c>
      <c r="K276" s="74">
        <v>200</v>
      </c>
      <c r="L276" s="176" t="s">
        <v>50</v>
      </c>
      <c r="M276" s="434"/>
    </row>
    <row r="277" spans="1:13" ht="45" customHeight="1" x14ac:dyDescent="0.25">
      <c r="A277" s="422"/>
      <c r="B277" s="427"/>
      <c r="C277" s="176" t="s">
        <v>134</v>
      </c>
      <c r="D277" s="84" t="s">
        <v>133</v>
      </c>
      <c r="E277" s="74">
        <v>0</v>
      </c>
      <c r="F277" s="74">
        <f>G277+H277+I277+J277+K277</f>
        <v>0</v>
      </c>
      <c r="G277" s="74">
        <v>0</v>
      </c>
      <c r="H277" s="74">
        <v>0</v>
      </c>
      <c r="I277" s="74">
        <v>0</v>
      </c>
      <c r="J277" s="74">
        <v>0</v>
      </c>
      <c r="K277" s="74">
        <v>0</v>
      </c>
      <c r="L277" s="176" t="s">
        <v>50</v>
      </c>
      <c r="M277" s="434"/>
    </row>
    <row r="278" spans="1:13" ht="45" customHeight="1" x14ac:dyDescent="0.25">
      <c r="A278" s="423"/>
      <c r="B278" s="428"/>
      <c r="C278" s="176" t="s">
        <v>134</v>
      </c>
      <c r="D278" s="84" t="s">
        <v>51</v>
      </c>
      <c r="E278" s="74">
        <v>0</v>
      </c>
      <c r="F278" s="74">
        <f>G278+H278+I278+J278+K278</f>
        <v>0</v>
      </c>
      <c r="G278" s="74">
        <v>0</v>
      </c>
      <c r="H278" s="74">
        <v>0</v>
      </c>
      <c r="I278" s="74">
        <v>0</v>
      </c>
      <c r="J278" s="74">
        <v>0</v>
      </c>
      <c r="K278" s="74">
        <v>0</v>
      </c>
      <c r="L278" s="176" t="s">
        <v>50</v>
      </c>
      <c r="M278" s="435"/>
    </row>
    <row r="279" spans="1:13" ht="45" customHeight="1" x14ac:dyDescent="0.25">
      <c r="A279" s="421" t="s">
        <v>292</v>
      </c>
      <c r="B279" s="426" t="s">
        <v>350</v>
      </c>
      <c r="C279" s="176"/>
      <c r="D279" s="178" t="s">
        <v>49</v>
      </c>
      <c r="E279" s="38">
        <f>E280+E281+E282</f>
        <v>0</v>
      </c>
      <c r="F279" s="38">
        <f t="shared" ref="F279:K279" si="85">F280+F281+F282</f>
        <v>20204.3</v>
      </c>
      <c r="G279" s="38">
        <f t="shared" si="85"/>
        <v>2800</v>
      </c>
      <c r="H279" s="276">
        <f t="shared" si="85"/>
        <v>6170.4</v>
      </c>
      <c r="I279" s="38">
        <f t="shared" si="85"/>
        <v>2352.9</v>
      </c>
      <c r="J279" s="38">
        <f t="shared" si="85"/>
        <v>4440.5</v>
      </c>
      <c r="K279" s="38">
        <f t="shared" si="85"/>
        <v>4440.5</v>
      </c>
      <c r="L279" s="39" t="s">
        <v>50</v>
      </c>
      <c r="M279" s="39"/>
    </row>
    <row r="280" spans="1:13" ht="45" customHeight="1" x14ac:dyDescent="0.25">
      <c r="A280" s="422"/>
      <c r="B280" s="427"/>
      <c r="C280" s="176" t="s">
        <v>134</v>
      </c>
      <c r="D280" s="84" t="s">
        <v>132</v>
      </c>
      <c r="E280" s="74">
        <v>0</v>
      </c>
      <c r="F280" s="74">
        <f>G280+H280+I280+J280+K280</f>
        <v>20204.3</v>
      </c>
      <c r="G280" s="74">
        <f>2400+400</f>
        <v>2800</v>
      </c>
      <c r="H280" s="281">
        <v>6170.4</v>
      </c>
      <c r="I280" s="74">
        <v>2352.9</v>
      </c>
      <c r="J280" s="74">
        <v>4440.5</v>
      </c>
      <c r="K280" s="74">
        <v>4440.5</v>
      </c>
      <c r="L280" s="176" t="s">
        <v>50</v>
      </c>
      <c r="M280" s="176"/>
    </row>
    <row r="281" spans="1:13" ht="45" customHeight="1" x14ac:dyDescent="0.25">
      <c r="A281" s="422"/>
      <c r="B281" s="427"/>
      <c r="C281" s="176" t="s">
        <v>134</v>
      </c>
      <c r="D281" s="84" t="s">
        <v>133</v>
      </c>
      <c r="E281" s="74">
        <v>0</v>
      </c>
      <c r="F281" s="74">
        <f>G281+H281+I281+J281+K281</f>
        <v>0</v>
      </c>
      <c r="G281" s="74">
        <v>0</v>
      </c>
      <c r="H281" s="74">
        <v>0</v>
      </c>
      <c r="I281" s="74">
        <v>0</v>
      </c>
      <c r="J281" s="74">
        <v>0</v>
      </c>
      <c r="K281" s="74">
        <v>0</v>
      </c>
      <c r="L281" s="176" t="s">
        <v>50</v>
      </c>
      <c r="M281" s="176"/>
    </row>
    <row r="282" spans="1:13" ht="45" customHeight="1" x14ac:dyDescent="0.25">
      <c r="A282" s="423"/>
      <c r="B282" s="428"/>
      <c r="C282" s="176" t="s">
        <v>134</v>
      </c>
      <c r="D282" s="84" t="s">
        <v>51</v>
      </c>
      <c r="E282" s="74">
        <v>0</v>
      </c>
      <c r="F282" s="74">
        <f>G282+H282+I282+J282+K282</f>
        <v>0</v>
      </c>
      <c r="G282" s="74">
        <v>0</v>
      </c>
      <c r="H282" s="74">
        <v>0</v>
      </c>
      <c r="I282" s="74">
        <v>0</v>
      </c>
      <c r="J282" s="74">
        <v>0</v>
      </c>
      <c r="K282" s="74">
        <v>0</v>
      </c>
      <c r="L282" s="176" t="s">
        <v>50</v>
      </c>
      <c r="M282" s="176"/>
    </row>
    <row r="283" spans="1:13" ht="45" customHeight="1" x14ac:dyDescent="0.25">
      <c r="A283" s="421" t="s">
        <v>392</v>
      </c>
      <c r="B283" s="426" t="s">
        <v>390</v>
      </c>
      <c r="C283" s="209"/>
      <c r="D283" s="178" t="s">
        <v>49</v>
      </c>
      <c r="E283" s="38">
        <f t="shared" ref="E283:K283" si="86">E284+E285+E286</f>
        <v>0</v>
      </c>
      <c r="F283" s="38">
        <f t="shared" si="86"/>
        <v>1122</v>
      </c>
      <c r="G283" s="38">
        <f t="shared" si="86"/>
        <v>1122</v>
      </c>
      <c r="H283" s="38">
        <f t="shared" si="86"/>
        <v>0</v>
      </c>
      <c r="I283" s="38">
        <f t="shared" si="86"/>
        <v>0</v>
      </c>
      <c r="J283" s="38">
        <f t="shared" si="86"/>
        <v>0</v>
      </c>
      <c r="K283" s="38">
        <f t="shared" si="86"/>
        <v>0</v>
      </c>
      <c r="L283" s="39" t="s">
        <v>50</v>
      </c>
      <c r="M283" s="433"/>
    </row>
    <row r="284" spans="1:13" ht="45" customHeight="1" x14ac:dyDescent="0.25">
      <c r="A284" s="422"/>
      <c r="B284" s="427"/>
      <c r="C284" s="209" t="s">
        <v>134</v>
      </c>
      <c r="D284" s="84" t="s">
        <v>132</v>
      </c>
      <c r="E284" s="74">
        <v>0</v>
      </c>
      <c r="F284" s="74">
        <f>G284+H284+I284+J284+K284</f>
        <v>0</v>
      </c>
      <c r="G284" s="74">
        <v>0</v>
      </c>
      <c r="H284" s="74">
        <v>0</v>
      </c>
      <c r="I284" s="74">
        <v>0</v>
      </c>
      <c r="J284" s="74">
        <v>0</v>
      </c>
      <c r="K284" s="74">
        <v>0</v>
      </c>
      <c r="L284" s="209" t="s">
        <v>50</v>
      </c>
      <c r="M284" s="434"/>
    </row>
    <row r="285" spans="1:13" ht="45" customHeight="1" x14ac:dyDescent="0.25">
      <c r="A285" s="422"/>
      <c r="B285" s="427"/>
      <c r="C285" s="209" t="s">
        <v>134</v>
      </c>
      <c r="D285" s="84" t="s">
        <v>133</v>
      </c>
      <c r="E285" s="74">
        <v>0</v>
      </c>
      <c r="F285" s="74">
        <f>G285+H285+I285+J285+K285</f>
        <v>1122</v>
      </c>
      <c r="G285" s="74">
        <v>1122</v>
      </c>
      <c r="H285" s="74">
        <v>0</v>
      </c>
      <c r="I285" s="74">
        <v>0</v>
      </c>
      <c r="J285" s="74">
        <v>0</v>
      </c>
      <c r="K285" s="74">
        <v>0</v>
      </c>
      <c r="L285" s="209" t="s">
        <v>50</v>
      </c>
      <c r="M285" s="434"/>
    </row>
    <row r="286" spans="1:13" ht="45" customHeight="1" x14ac:dyDescent="0.25">
      <c r="A286" s="423"/>
      <c r="B286" s="428"/>
      <c r="C286" s="209" t="s">
        <v>134</v>
      </c>
      <c r="D286" s="84" t="s">
        <v>51</v>
      </c>
      <c r="E286" s="74">
        <v>0</v>
      </c>
      <c r="F286" s="74">
        <f>G286+H286+I286+J286+K286</f>
        <v>0</v>
      </c>
      <c r="G286" s="74">
        <v>0</v>
      </c>
      <c r="H286" s="74">
        <v>0</v>
      </c>
      <c r="I286" s="74">
        <v>0</v>
      </c>
      <c r="J286" s="74">
        <v>0</v>
      </c>
      <c r="K286" s="74">
        <v>0</v>
      </c>
      <c r="L286" s="209" t="s">
        <v>50</v>
      </c>
      <c r="M286" s="435"/>
    </row>
    <row r="287" spans="1:13" ht="45" customHeight="1" x14ac:dyDescent="0.25">
      <c r="A287" s="439" t="s">
        <v>66</v>
      </c>
      <c r="B287" s="429" t="s">
        <v>227</v>
      </c>
      <c r="C287" s="136"/>
      <c r="D287" s="137" t="s">
        <v>49</v>
      </c>
      <c r="E287" s="138">
        <f>E288+E289+E290</f>
        <v>0</v>
      </c>
      <c r="F287" s="138">
        <f t="shared" ref="F287:K287" si="87">F288+F289+F290</f>
        <v>10918.4</v>
      </c>
      <c r="G287" s="138">
        <f t="shared" si="87"/>
        <v>2213.1999999999998</v>
      </c>
      <c r="H287" s="138">
        <f t="shared" si="87"/>
        <v>2756.1000000000004</v>
      </c>
      <c r="I287" s="138">
        <f t="shared" si="87"/>
        <v>690</v>
      </c>
      <c r="J287" s="138">
        <f t="shared" si="87"/>
        <v>3423.1</v>
      </c>
      <c r="K287" s="138">
        <f t="shared" si="87"/>
        <v>1836</v>
      </c>
      <c r="L287" s="139" t="s">
        <v>50</v>
      </c>
      <c r="M287" s="139"/>
    </row>
    <row r="288" spans="1:13" ht="45" customHeight="1" x14ac:dyDescent="0.25">
      <c r="A288" s="440"/>
      <c r="B288" s="430"/>
      <c r="C288" s="136" t="s">
        <v>134</v>
      </c>
      <c r="D288" s="140" t="s">
        <v>132</v>
      </c>
      <c r="E288" s="141">
        <f t="shared" ref="E288:K288" si="88">E292+E296+E300+E304+E308+E312+E316</f>
        <v>0</v>
      </c>
      <c r="F288" s="141">
        <f t="shared" si="88"/>
        <v>10918.4</v>
      </c>
      <c r="G288" s="141">
        <f t="shared" si="88"/>
        <v>2213.1999999999998</v>
      </c>
      <c r="H288" s="141">
        <f t="shared" si="88"/>
        <v>2756.1000000000004</v>
      </c>
      <c r="I288" s="141">
        <f t="shared" si="88"/>
        <v>690</v>
      </c>
      <c r="J288" s="141">
        <f t="shared" si="88"/>
        <v>3423.1</v>
      </c>
      <c r="K288" s="141">
        <f t="shared" si="88"/>
        <v>1836</v>
      </c>
      <c r="L288" s="136" t="s">
        <v>50</v>
      </c>
      <c r="M288" s="136"/>
    </row>
    <row r="289" spans="1:13" ht="45" customHeight="1" x14ac:dyDescent="0.25">
      <c r="A289" s="440"/>
      <c r="B289" s="430"/>
      <c r="C289" s="136" t="s">
        <v>134</v>
      </c>
      <c r="D289" s="140" t="s">
        <v>133</v>
      </c>
      <c r="E289" s="141">
        <f t="shared" ref="E289:K290" si="89">E293+E297+E301+E305+E309</f>
        <v>0</v>
      </c>
      <c r="F289" s="141">
        <f t="shared" si="89"/>
        <v>0</v>
      </c>
      <c r="G289" s="141">
        <f t="shared" si="89"/>
        <v>0</v>
      </c>
      <c r="H289" s="141">
        <f t="shared" si="89"/>
        <v>0</v>
      </c>
      <c r="I289" s="141">
        <f t="shared" si="89"/>
        <v>0</v>
      </c>
      <c r="J289" s="141">
        <f t="shared" si="89"/>
        <v>0</v>
      </c>
      <c r="K289" s="141">
        <f t="shared" si="89"/>
        <v>0</v>
      </c>
      <c r="L289" s="136" t="s">
        <v>50</v>
      </c>
      <c r="M289" s="136"/>
    </row>
    <row r="290" spans="1:13" ht="45" customHeight="1" x14ac:dyDescent="0.25">
      <c r="A290" s="441"/>
      <c r="B290" s="431"/>
      <c r="C290" s="136" t="s">
        <v>134</v>
      </c>
      <c r="D290" s="140" t="s">
        <v>51</v>
      </c>
      <c r="E290" s="141">
        <f t="shared" si="89"/>
        <v>0</v>
      </c>
      <c r="F290" s="141">
        <f t="shared" si="89"/>
        <v>0</v>
      </c>
      <c r="G290" s="141">
        <f t="shared" si="89"/>
        <v>0</v>
      </c>
      <c r="H290" s="141">
        <f t="shared" si="89"/>
        <v>0</v>
      </c>
      <c r="I290" s="141">
        <f t="shared" si="89"/>
        <v>0</v>
      </c>
      <c r="J290" s="141">
        <f t="shared" si="89"/>
        <v>0</v>
      </c>
      <c r="K290" s="141">
        <f t="shared" si="89"/>
        <v>0</v>
      </c>
      <c r="L290" s="136" t="s">
        <v>50</v>
      </c>
      <c r="M290" s="136"/>
    </row>
    <row r="291" spans="1:13" ht="33" customHeight="1" x14ac:dyDescent="0.25">
      <c r="A291" s="455" t="s">
        <v>70</v>
      </c>
      <c r="B291" s="426" t="s">
        <v>312</v>
      </c>
      <c r="C291" s="64"/>
      <c r="D291" s="85" t="s">
        <v>49</v>
      </c>
      <c r="E291" s="38">
        <f t="shared" ref="E291:K291" si="90">E292+E293+E294</f>
        <v>0</v>
      </c>
      <c r="F291" s="38">
        <f t="shared" si="90"/>
        <v>232</v>
      </c>
      <c r="G291" s="38">
        <f t="shared" si="90"/>
        <v>232</v>
      </c>
      <c r="H291" s="38">
        <f t="shared" si="90"/>
        <v>0</v>
      </c>
      <c r="I291" s="27">
        <f t="shared" si="90"/>
        <v>0</v>
      </c>
      <c r="J291" s="27">
        <f t="shared" si="90"/>
        <v>0</v>
      </c>
      <c r="K291" s="27">
        <f t="shared" si="90"/>
        <v>0</v>
      </c>
      <c r="L291" s="39" t="s">
        <v>50</v>
      </c>
      <c r="M291" s="39"/>
    </row>
    <row r="292" spans="1:13" ht="45" customHeight="1" x14ac:dyDescent="0.25">
      <c r="A292" s="456"/>
      <c r="B292" s="427"/>
      <c r="C292" s="64" t="s">
        <v>134</v>
      </c>
      <c r="D292" s="65" t="s">
        <v>132</v>
      </c>
      <c r="E292" s="74">
        <v>0</v>
      </c>
      <c r="F292" s="74">
        <f>G292+H292+I292+J292+K292</f>
        <v>232</v>
      </c>
      <c r="G292" s="74">
        <f>500-10-258</f>
        <v>232</v>
      </c>
      <c r="H292" s="74">
        <v>0</v>
      </c>
      <c r="I292" s="70">
        <v>0</v>
      </c>
      <c r="J292" s="70">
        <v>0</v>
      </c>
      <c r="K292" s="70">
        <v>0</v>
      </c>
      <c r="L292" s="69" t="s">
        <v>50</v>
      </c>
      <c r="M292" s="69"/>
    </row>
    <row r="293" spans="1:13" ht="45" customHeight="1" x14ac:dyDescent="0.25">
      <c r="A293" s="456"/>
      <c r="B293" s="427"/>
      <c r="C293" s="64" t="s">
        <v>134</v>
      </c>
      <c r="D293" s="65" t="s">
        <v>133</v>
      </c>
      <c r="E293" s="74">
        <v>0</v>
      </c>
      <c r="F293" s="74">
        <f>G293+H293+I293+J293+K293</f>
        <v>0</v>
      </c>
      <c r="G293" s="74">
        <v>0</v>
      </c>
      <c r="H293" s="74">
        <v>0</v>
      </c>
      <c r="I293" s="70">
        <v>0</v>
      </c>
      <c r="J293" s="70">
        <v>0</v>
      </c>
      <c r="K293" s="70">
        <v>0</v>
      </c>
      <c r="L293" s="69" t="s">
        <v>50</v>
      </c>
      <c r="M293" s="69"/>
    </row>
    <row r="294" spans="1:13" ht="45" customHeight="1" x14ac:dyDescent="0.25">
      <c r="A294" s="457"/>
      <c r="B294" s="428"/>
      <c r="C294" s="69" t="s">
        <v>134</v>
      </c>
      <c r="D294" s="84" t="s">
        <v>51</v>
      </c>
      <c r="E294" s="74">
        <v>0</v>
      </c>
      <c r="F294" s="74">
        <f>G294+H294+I294+J294+K294</f>
        <v>0</v>
      </c>
      <c r="G294" s="74">
        <v>0</v>
      </c>
      <c r="H294" s="74">
        <v>0</v>
      </c>
      <c r="I294" s="74">
        <v>0</v>
      </c>
      <c r="J294" s="74">
        <v>0</v>
      </c>
      <c r="K294" s="74">
        <v>0</v>
      </c>
      <c r="L294" s="69" t="s">
        <v>50</v>
      </c>
      <c r="M294" s="69"/>
    </row>
    <row r="295" spans="1:13" ht="30.75" customHeight="1" x14ac:dyDescent="0.25">
      <c r="A295" s="455" t="s">
        <v>216</v>
      </c>
      <c r="B295" s="426" t="s">
        <v>313</v>
      </c>
      <c r="C295" s="64"/>
      <c r="D295" s="85" t="s">
        <v>49</v>
      </c>
      <c r="E295" s="38">
        <f t="shared" ref="E295:K295" si="91">E296+E297+E298</f>
        <v>0</v>
      </c>
      <c r="F295" s="38">
        <f t="shared" si="91"/>
        <v>2458.3000000000002</v>
      </c>
      <c r="G295" s="38">
        <f t="shared" si="91"/>
        <v>500</v>
      </c>
      <c r="H295" s="38">
        <f t="shared" si="91"/>
        <v>458.3</v>
      </c>
      <c r="I295" s="27">
        <f t="shared" si="91"/>
        <v>500</v>
      </c>
      <c r="J295" s="27">
        <f t="shared" si="91"/>
        <v>500</v>
      </c>
      <c r="K295" s="27">
        <f t="shared" si="91"/>
        <v>500</v>
      </c>
      <c r="L295" s="39" t="s">
        <v>50</v>
      </c>
      <c r="M295" s="39"/>
    </row>
    <row r="296" spans="1:13" ht="45" customHeight="1" x14ac:dyDescent="0.25">
      <c r="A296" s="456"/>
      <c r="B296" s="427"/>
      <c r="C296" s="64" t="s">
        <v>134</v>
      </c>
      <c r="D296" s="65" t="s">
        <v>132</v>
      </c>
      <c r="E296" s="74">
        <v>0</v>
      </c>
      <c r="F296" s="74">
        <f>G296+H296+I296+J296+K296</f>
        <v>2458.3000000000002</v>
      </c>
      <c r="G296" s="74">
        <v>500</v>
      </c>
      <c r="H296" s="281">
        <v>458.3</v>
      </c>
      <c r="I296" s="70">
        <v>500</v>
      </c>
      <c r="J296" s="70">
        <v>500</v>
      </c>
      <c r="K296" s="70">
        <v>500</v>
      </c>
      <c r="L296" s="69" t="s">
        <v>50</v>
      </c>
      <c r="M296" s="69"/>
    </row>
    <row r="297" spans="1:13" ht="45" customHeight="1" x14ac:dyDescent="0.25">
      <c r="A297" s="456"/>
      <c r="B297" s="427"/>
      <c r="C297" s="64" t="s">
        <v>134</v>
      </c>
      <c r="D297" s="65" t="s">
        <v>133</v>
      </c>
      <c r="E297" s="74">
        <v>0</v>
      </c>
      <c r="F297" s="74">
        <f>G297+H297+I297+J297+K297</f>
        <v>0</v>
      </c>
      <c r="G297" s="74">
        <v>0</v>
      </c>
      <c r="H297" s="74">
        <v>0</v>
      </c>
      <c r="I297" s="70">
        <v>0</v>
      </c>
      <c r="J297" s="70">
        <v>0</v>
      </c>
      <c r="K297" s="70">
        <v>0</v>
      </c>
      <c r="L297" s="69" t="s">
        <v>50</v>
      </c>
      <c r="M297" s="69"/>
    </row>
    <row r="298" spans="1:13" ht="45" customHeight="1" x14ac:dyDescent="0.25">
      <c r="A298" s="457"/>
      <c r="B298" s="428"/>
      <c r="C298" s="69" t="s">
        <v>134</v>
      </c>
      <c r="D298" s="84" t="s">
        <v>51</v>
      </c>
      <c r="E298" s="74">
        <v>0</v>
      </c>
      <c r="F298" s="74">
        <f>G298+H298+I298+J298+K298</f>
        <v>0</v>
      </c>
      <c r="G298" s="74">
        <v>0</v>
      </c>
      <c r="H298" s="74">
        <v>0</v>
      </c>
      <c r="I298" s="74">
        <v>0</v>
      </c>
      <c r="J298" s="74">
        <v>0</v>
      </c>
      <c r="K298" s="74">
        <v>0</v>
      </c>
      <c r="L298" s="69" t="s">
        <v>50</v>
      </c>
      <c r="M298" s="69"/>
    </row>
    <row r="299" spans="1:13" ht="31.5" customHeight="1" x14ac:dyDescent="0.25">
      <c r="A299" s="455" t="s">
        <v>223</v>
      </c>
      <c r="B299" s="426" t="s">
        <v>314</v>
      </c>
      <c r="C299" s="64"/>
      <c r="D299" s="85" t="s">
        <v>49</v>
      </c>
      <c r="E299" s="38">
        <f t="shared" ref="E299:K299" si="92">E300+E301+E302</f>
        <v>0</v>
      </c>
      <c r="F299" s="38">
        <f t="shared" si="92"/>
        <v>357.9</v>
      </c>
      <c r="G299" s="38">
        <f t="shared" si="92"/>
        <v>72.8</v>
      </c>
      <c r="H299" s="38">
        <f t="shared" si="92"/>
        <v>15.1</v>
      </c>
      <c r="I299" s="27">
        <f t="shared" si="92"/>
        <v>90</v>
      </c>
      <c r="J299" s="27">
        <f t="shared" si="92"/>
        <v>90</v>
      </c>
      <c r="K299" s="27">
        <f t="shared" si="92"/>
        <v>90</v>
      </c>
      <c r="L299" s="39" t="s">
        <v>50</v>
      </c>
      <c r="M299" s="374"/>
    </row>
    <row r="300" spans="1:13" ht="45" customHeight="1" x14ac:dyDescent="0.25">
      <c r="A300" s="456"/>
      <c r="B300" s="427"/>
      <c r="C300" s="64" t="s">
        <v>134</v>
      </c>
      <c r="D300" s="65" t="s">
        <v>132</v>
      </c>
      <c r="E300" s="74">
        <v>0</v>
      </c>
      <c r="F300" s="74">
        <f>G300+H300+I300+J300+K300</f>
        <v>357.9</v>
      </c>
      <c r="G300" s="74">
        <f>150-77.2</f>
        <v>72.8</v>
      </c>
      <c r="H300" s="281">
        <v>15.1</v>
      </c>
      <c r="I300" s="70">
        <v>90</v>
      </c>
      <c r="J300" s="70">
        <v>90</v>
      </c>
      <c r="K300" s="70">
        <v>90</v>
      </c>
      <c r="L300" s="69" t="s">
        <v>50</v>
      </c>
      <c r="M300" s="375"/>
    </row>
    <row r="301" spans="1:13" ht="45" customHeight="1" x14ac:dyDescent="0.25">
      <c r="A301" s="456"/>
      <c r="B301" s="427"/>
      <c r="C301" s="64" t="s">
        <v>134</v>
      </c>
      <c r="D301" s="65" t="s">
        <v>133</v>
      </c>
      <c r="E301" s="74">
        <v>0</v>
      </c>
      <c r="F301" s="74">
        <f>G301+H301+I301+J301+K301</f>
        <v>0</v>
      </c>
      <c r="G301" s="74">
        <v>0</v>
      </c>
      <c r="H301" s="74">
        <v>0</v>
      </c>
      <c r="I301" s="70">
        <v>0</v>
      </c>
      <c r="J301" s="70">
        <v>0</v>
      </c>
      <c r="K301" s="70">
        <v>0</v>
      </c>
      <c r="L301" s="69" t="s">
        <v>50</v>
      </c>
      <c r="M301" s="375"/>
    </row>
    <row r="302" spans="1:13" ht="45" customHeight="1" x14ac:dyDescent="0.25">
      <c r="A302" s="457"/>
      <c r="B302" s="428"/>
      <c r="C302" s="69" t="s">
        <v>134</v>
      </c>
      <c r="D302" s="84" t="s">
        <v>51</v>
      </c>
      <c r="E302" s="74">
        <v>0</v>
      </c>
      <c r="F302" s="74">
        <f>G302+H302+I302+J302+K302</f>
        <v>0</v>
      </c>
      <c r="G302" s="74">
        <v>0</v>
      </c>
      <c r="H302" s="74">
        <v>0</v>
      </c>
      <c r="I302" s="74">
        <v>0</v>
      </c>
      <c r="J302" s="74">
        <v>0</v>
      </c>
      <c r="K302" s="74">
        <v>0</v>
      </c>
      <c r="L302" s="69" t="s">
        <v>50</v>
      </c>
      <c r="M302" s="376"/>
    </row>
    <row r="303" spans="1:13" ht="31.5" customHeight="1" x14ac:dyDescent="0.25">
      <c r="A303" s="455" t="s">
        <v>224</v>
      </c>
      <c r="B303" s="426" t="s">
        <v>363</v>
      </c>
      <c r="C303" s="64"/>
      <c r="D303" s="85" t="s">
        <v>49</v>
      </c>
      <c r="E303" s="38">
        <f t="shared" ref="E303:K303" si="93">E304+E305+E306</f>
        <v>0</v>
      </c>
      <c r="F303" s="38">
        <f t="shared" si="93"/>
        <v>500</v>
      </c>
      <c r="G303" s="38">
        <f t="shared" si="93"/>
        <v>100</v>
      </c>
      <c r="H303" s="38">
        <f t="shared" si="93"/>
        <v>100</v>
      </c>
      <c r="I303" s="27">
        <f t="shared" si="93"/>
        <v>100</v>
      </c>
      <c r="J303" s="27">
        <f t="shared" si="93"/>
        <v>100</v>
      </c>
      <c r="K303" s="27">
        <f t="shared" si="93"/>
        <v>100</v>
      </c>
      <c r="L303" s="39" t="s">
        <v>50</v>
      </c>
      <c r="M303" s="39"/>
    </row>
    <row r="304" spans="1:13" ht="45" customHeight="1" x14ac:dyDescent="0.25">
      <c r="A304" s="456"/>
      <c r="B304" s="427"/>
      <c r="C304" s="64" t="s">
        <v>134</v>
      </c>
      <c r="D304" s="65" t="s">
        <v>132</v>
      </c>
      <c r="E304" s="74">
        <v>0</v>
      </c>
      <c r="F304" s="74">
        <f>G304+H304+I304+J304+K304</f>
        <v>500</v>
      </c>
      <c r="G304" s="74">
        <v>100</v>
      </c>
      <c r="H304" s="281">
        <v>100</v>
      </c>
      <c r="I304" s="70">
        <v>100</v>
      </c>
      <c r="J304" s="70">
        <v>100</v>
      </c>
      <c r="K304" s="70">
        <v>100</v>
      </c>
      <c r="L304" s="69" t="s">
        <v>50</v>
      </c>
      <c r="M304" s="69"/>
    </row>
    <row r="305" spans="1:13" ht="45" customHeight="1" x14ac:dyDescent="0.25">
      <c r="A305" s="456"/>
      <c r="B305" s="427"/>
      <c r="C305" s="64" t="s">
        <v>134</v>
      </c>
      <c r="D305" s="65" t="s">
        <v>133</v>
      </c>
      <c r="E305" s="74">
        <v>0</v>
      </c>
      <c r="F305" s="74">
        <f>G305+H305+I305+J305+K305</f>
        <v>0</v>
      </c>
      <c r="G305" s="74">
        <v>0</v>
      </c>
      <c r="H305" s="74">
        <v>0</v>
      </c>
      <c r="I305" s="70">
        <v>0</v>
      </c>
      <c r="J305" s="70">
        <v>0</v>
      </c>
      <c r="K305" s="70">
        <v>0</v>
      </c>
      <c r="L305" s="69" t="s">
        <v>50</v>
      </c>
      <c r="M305" s="69"/>
    </row>
    <row r="306" spans="1:13" ht="45" customHeight="1" x14ac:dyDescent="0.25">
      <c r="A306" s="457"/>
      <c r="B306" s="428"/>
      <c r="C306" s="69" t="s">
        <v>134</v>
      </c>
      <c r="D306" s="84" t="s">
        <v>51</v>
      </c>
      <c r="E306" s="74">
        <v>0</v>
      </c>
      <c r="F306" s="74">
        <f>G306+H306+I306+J306+K306</f>
        <v>0</v>
      </c>
      <c r="G306" s="74">
        <v>0</v>
      </c>
      <c r="H306" s="74">
        <v>0</v>
      </c>
      <c r="I306" s="74">
        <v>0</v>
      </c>
      <c r="J306" s="74">
        <v>0</v>
      </c>
      <c r="K306" s="74">
        <v>0</v>
      </c>
      <c r="L306" s="69" t="s">
        <v>50</v>
      </c>
      <c r="M306" s="69"/>
    </row>
    <row r="307" spans="1:13" ht="31.5" customHeight="1" x14ac:dyDescent="0.25">
      <c r="A307" s="421" t="s">
        <v>225</v>
      </c>
      <c r="B307" s="426" t="s">
        <v>289</v>
      </c>
      <c r="C307" s="209"/>
      <c r="D307" s="178" t="s">
        <v>49</v>
      </c>
      <c r="E307" s="38">
        <f t="shared" ref="E307:K307" si="94">E308+E309+E310</f>
        <v>0</v>
      </c>
      <c r="F307" s="38">
        <f t="shared" si="94"/>
        <v>4233.5</v>
      </c>
      <c r="G307" s="38">
        <f t="shared" si="94"/>
        <v>1023.5999999999999</v>
      </c>
      <c r="H307" s="38">
        <f t="shared" si="94"/>
        <v>917.9</v>
      </c>
      <c r="I307" s="38">
        <f t="shared" si="94"/>
        <v>0</v>
      </c>
      <c r="J307" s="38">
        <f t="shared" si="94"/>
        <v>1146</v>
      </c>
      <c r="K307" s="38">
        <f t="shared" si="94"/>
        <v>1146</v>
      </c>
      <c r="L307" s="39" t="s">
        <v>50</v>
      </c>
      <c r="M307" s="39"/>
    </row>
    <row r="308" spans="1:13" ht="45" customHeight="1" x14ac:dyDescent="0.25">
      <c r="A308" s="422"/>
      <c r="B308" s="427"/>
      <c r="C308" s="209" t="s">
        <v>134</v>
      </c>
      <c r="D308" s="84" t="s">
        <v>132</v>
      </c>
      <c r="E308" s="74">
        <v>0</v>
      </c>
      <c r="F308" s="74">
        <f>G308+H308+I308+J308+K308</f>
        <v>4233.5</v>
      </c>
      <c r="G308" s="74">
        <f>650-5.4+400-21</f>
        <v>1023.5999999999999</v>
      </c>
      <c r="H308" s="281">
        <f>947.1-29.2</f>
        <v>917.9</v>
      </c>
      <c r="I308" s="74">
        <v>0</v>
      </c>
      <c r="J308" s="74">
        <v>1146</v>
      </c>
      <c r="K308" s="74">
        <v>1146</v>
      </c>
      <c r="L308" s="209" t="s">
        <v>50</v>
      </c>
      <c r="M308" s="209"/>
    </row>
    <row r="309" spans="1:13" ht="45" customHeight="1" x14ac:dyDescent="0.25">
      <c r="A309" s="422"/>
      <c r="B309" s="427"/>
      <c r="C309" s="209" t="s">
        <v>134</v>
      </c>
      <c r="D309" s="84" t="s">
        <v>133</v>
      </c>
      <c r="E309" s="74">
        <v>0</v>
      </c>
      <c r="F309" s="74">
        <f>G309+H309+I309+J309+K309</f>
        <v>0</v>
      </c>
      <c r="G309" s="74">
        <v>0</v>
      </c>
      <c r="H309" s="74">
        <v>0</v>
      </c>
      <c r="I309" s="74">
        <v>0</v>
      </c>
      <c r="J309" s="74">
        <v>0</v>
      </c>
      <c r="K309" s="74">
        <v>0</v>
      </c>
      <c r="L309" s="209" t="s">
        <v>50</v>
      </c>
      <c r="M309" s="209"/>
    </row>
    <row r="310" spans="1:13" ht="45" customHeight="1" x14ac:dyDescent="0.25">
      <c r="A310" s="423"/>
      <c r="B310" s="428"/>
      <c r="C310" s="209" t="s">
        <v>134</v>
      </c>
      <c r="D310" s="84" t="s">
        <v>51</v>
      </c>
      <c r="E310" s="74">
        <v>0</v>
      </c>
      <c r="F310" s="74">
        <f>G310+H310+I310+J310+K310</f>
        <v>0</v>
      </c>
      <c r="G310" s="74">
        <v>0</v>
      </c>
      <c r="H310" s="74">
        <v>0</v>
      </c>
      <c r="I310" s="74">
        <v>0</v>
      </c>
      <c r="J310" s="74">
        <v>0</v>
      </c>
      <c r="K310" s="74">
        <v>0</v>
      </c>
      <c r="L310" s="209" t="s">
        <v>50</v>
      </c>
      <c r="M310" s="209"/>
    </row>
    <row r="311" spans="1:13" ht="45" customHeight="1" x14ac:dyDescent="0.25">
      <c r="A311" s="421" t="s">
        <v>226</v>
      </c>
      <c r="B311" s="426" t="s">
        <v>274</v>
      </c>
      <c r="C311" s="209"/>
      <c r="D311" s="178" t="s">
        <v>49</v>
      </c>
      <c r="E311" s="38">
        <f>E312+E313+E314</f>
        <v>0</v>
      </c>
      <c r="F311" s="38">
        <f t="shared" ref="F311:K311" si="95">F312+F313+F314</f>
        <v>2184.8999999999996</v>
      </c>
      <c r="G311" s="38">
        <f t="shared" si="95"/>
        <v>200</v>
      </c>
      <c r="H311" s="38">
        <f t="shared" si="95"/>
        <v>397.8</v>
      </c>
      <c r="I311" s="38">
        <f t="shared" si="95"/>
        <v>0</v>
      </c>
      <c r="J311" s="38">
        <f t="shared" si="95"/>
        <v>1587.1</v>
      </c>
      <c r="K311" s="38">
        <f t="shared" si="95"/>
        <v>0</v>
      </c>
      <c r="L311" s="39" t="s">
        <v>50</v>
      </c>
      <c r="M311" s="39"/>
    </row>
    <row r="312" spans="1:13" ht="45" customHeight="1" x14ac:dyDescent="0.25">
      <c r="A312" s="422"/>
      <c r="B312" s="427"/>
      <c r="C312" s="209" t="s">
        <v>134</v>
      </c>
      <c r="D312" s="84" t="s">
        <v>132</v>
      </c>
      <c r="E312" s="74">
        <v>0</v>
      </c>
      <c r="F312" s="74">
        <f>G312+H312+I312+J312+K312</f>
        <v>2184.8999999999996</v>
      </c>
      <c r="G312" s="74">
        <v>200</v>
      </c>
      <c r="H312" s="281">
        <v>397.8</v>
      </c>
      <c r="I312" s="74">
        <v>0</v>
      </c>
      <c r="J312" s="74">
        <v>1587.1</v>
      </c>
      <c r="K312" s="74">
        <v>0</v>
      </c>
      <c r="L312" s="209" t="s">
        <v>50</v>
      </c>
      <c r="M312" s="209"/>
    </row>
    <row r="313" spans="1:13" ht="45" customHeight="1" x14ac:dyDescent="0.25">
      <c r="A313" s="422"/>
      <c r="B313" s="427"/>
      <c r="C313" s="209" t="s">
        <v>134</v>
      </c>
      <c r="D313" s="84" t="s">
        <v>133</v>
      </c>
      <c r="E313" s="74">
        <v>0</v>
      </c>
      <c r="F313" s="74">
        <f>G313+H313+I313+J313+K313</f>
        <v>0</v>
      </c>
      <c r="G313" s="74">
        <v>0</v>
      </c>
      <c r="H313" s="74">
        <v>0</v>
      </c>
      <c r="I313" s="74">
        <v>0</v>
      </c>
      <c r="J313" s="74">
        <v>0</v>
      </c>
      <c r="K313" s="74">
        <v>0</v>
      </c>
      <c r="L313" s="209" t="s">
        <v>50</v>
      </c>
      <c r="M313" s="209"/>
    </row>
    <row r="314" spans="1:13" ht="45" customHeight="1" x14ac:dyDescent="0.25">
      <c r="A314" s="423"/>
      <c r="B314" s="428"/>
      <c r="C314" s="209" t="s">
        <v>134</v>
      </c>
      <c r="D314" s="84" t="s">
        <v>51</v>
      </c>
      <c r="E314" s="74">
        <v>0</v>
      </c>
      <c r="F314" s="74">
        <f>G314+H314+I314+J314+K314</f>
        <v>0</v>
      </c>
      <c r="G314" s="74">
        <v>0</v>
      </c>
      <c r="H314" s="74">
        <v>0</v>
      </c>
      <c r="I314" s="74">
        <v>0</v>
      </c>
      <c r="J314" s="74">
        <v>0</v>
      </c>
      <c r="K314" s="74">
        <v>0</v>
      </c>
      <c r="L314" s="209" t="s">
        <v>50</v>
      </c>
      <c r="M314" s="209"/>
    </row>
    <row r="315" spans="1:13" ht="45" customHeight="1" x14ac:dyDescent="0.25">
      <c r="A315" s="421" t="s">
        <v>398</v>
      </c>
      <c r="B315" s="426" t="s">
        <v>270</v>
      </c>
      <c r="C315" s="209"/>
      <c r="D315" s="178" t="s">
        <v>49</v>
      </c>
      <c r="E315" s="38">
        <f>E316+E317+E318</f>
        <v>0</v>
      </c>
      <c r="F315" s="38">
        <f t="shared" ref="F315:K315" si="96">F316+F317+F318</f>
        <v>951.8</v>
      </c>
      <c r="G315" s="38">
        <f t="shared" si="96"/>
        <v>84.800000000000011</v>
      </c>
      <c r="H315" s="38">
        <f t="shared" si="96"/>
        <v>867</v>
      </c>
      <c r="I315" s="38">
        <f t="shared" si="96"/>
        <v>0</v>
      </c>
      <c r="J315" s="38">
        <f t="shared" si="96"/>
        <v>0</v>
      </c>
      <c r="K315" s="38">
        <f t="shared" si="96"/>
        <v>0</v>
      </c>
      <c r="L315" s="39" t="s">
        <v>50</v>
      </c>
      <c r="M315" s="39"/>
    </row>
    <row r="316" spans="1:13" ht="45" customHeight="1" x14ac:dyDescent="0.25">
      <c r="A316" s="422"/>
      <c r="B316" s="427"/>
      <c r="C316" s="209" t="s">
        <v>134</v>
      </c>
      <c r="D316" s="84" t="s">
        <v>132</v>
      </c>
      <c r="E316" s="74">
        <v>0</v>
      </c>
      <c r="F316" s="74">
        <f>G316+H316+I316+J316+K316</f>
        <v>951.8</v>
      </c>
      <c r="G316" s="74">
        <f>84.9-0.1</f>
        <v>84.800000000000011</v>
      </c>
      <c r="H316" s="281">
        <v>867</v>
      </c>
      <c r="I316" s="74">
        <v>0</v>
      </c>
      <c r="J316" s="74">
        <v>0</v>
      </c>
      <c r="K316" s="74">
        <v>0</v>
      </c>
      <c r="L316" s="209" t="s">
        <v>50</v>
      </c>
      <c r="M316" s="209"/>
    </row>
    <row r="317" spans="1:13" ht="45" customHeight="1" x14ac:dyDescent="0.25">
      <c r="A317" s="422"/>
      <c r="B317" s="427"/>
      <c r="C317" s="209" t="s">
        <v>134</v>
      </c>
      <c r="D317" s="84" t="s">
        <v>133</v>
      </c>
      <c r="E317" s="74">
        <v>0</v>
      </c>
      <c r="F317" s="74">
        <f>G317+H317+I317+J317+K317</f>
        <v>0</v>
      </c>
      <c r="G317" s="74">
        <v>0</v>
      </c>
      <c r="H317" s="74">
        <v>0</v>
      </c>
      <c r="I317" s="74">
        <v>0</v>
      </c>
      <c r="J317" s="74">
        <v>0</v>
      </c>
      <c r="K317" s="74">
        <v>0</v>
      </c>
      <c r="L317" s="209" t="s">
        <v>50</v>
      </c>
      <c r="M317" s="209"/>
    </row>
    <row r="318" spans="1:13" ht="45" customHeight="1" x14ac:dyDescent="0.25">
      <c r="A318" s="423"/>
      <c r="B318" s="428"/>
      <c r="C318" s="209" t="s">
        <v>134</v>
      </c>
      <c r="D318" s="84" t="s">
        <v>51</v>
      </c>
      <c r="E318" s="74">
        <v>0</v>
      </c>
      <c r="F318" s="74">
        <f>G318+H318+I318+J318+K318</f>
        <v>0</v>
      </c>
      <c r="G318" s="74">
        <v>0</v>
      </c>
      <c r="H318" s="74">
        <v>0</v>
      </c>
      <c r="I318" s="74">
        <v>0</v>
      </c>
      <c r="J318" s="74">
        <v>0</v>
      </c>
      <c r="K318" s="74">
        <v>0</v>
      </c>
      <c r="L318" s="209" t="s">
        <v>50</v>
      </c>
      <c r="M318" s="209"/>
    </row>
    <row r="319" spans="1:13" ht="37.5" customHeight="1" x14ac:dyDescent="0.25">
      <c r="A319" s="442" t="s">
        <v>212</v>
      </c>
      <c r="B319" s="436" t="s">
        <v>126</v>
      </c>
      <c r="C319" s="80"/>
      <c r="D319" s="87" t="s">
        <v>49</v>
      </c>
      <c r="E319" s="75">
        <f t="shared" ref="E319:K319" si="97">E320+E321+E322</f>
        <v>0</v>
      </c>
      <c r="F319" s="75">
        <f t="shared" si="97"/>
        <v>1665.9</v>
      </c>
      <c r="G319" s="75">
        <f t="shared" si="97"/>
        <v>250</v>
      </c>
      <c r="H319" s="75">
        <f t="shared" si="97"/>
        <v>165.9</v>
      </c>
      <c r="I319" s="75">
        <f t="shared" si="97"/>
        <v>250</v>
      </c>
      <c r="J319" s="75">
        <f t="shared" si="97"/>
        <v>500</v>
      </c>
      <c r="K319" s="75">
        <f t="shared" si="97"/>
        <v>500</v>
      </c>
      <c r="L319" s="32"/>
      <c r="M319" s="32"/>
    </row>
    <row r="320" spans="1:13" ht="43.5" customHeight="1" x14ac:dyDescent="0.25">
      <c r="A320" s="443"/>
      <c r="B320" s="437"/>
      <c r="C320" s="80"/>
      <c r="D320" s="83" t="s">
        <v>132</v>
      </c>
      <c r="E320" s="35">
        <f t="shared" ref="E320:K320" si="98">E324</f>
        <v>0</v>
      </c>
      <c r="F320" s="35">
        <f t="shared" si="98"/>
        <v>1665.9</v>
      </c>
      <c r="G320" s="35">
        <f t="shared" si="98"/>
        <v>250</v>
      </c>
      <c r="H320" s="35">
        <f t="shared" si="98"/>
        <v>165.9</v>
      </c>
      <c r="I320" s="35">
        <f t="shared" si="98"/>
        <v>250</v>
      </c>
      <c r="J320" s="35">
        <f t="shared" si="98"/>
        <v>500</v>
      </c>
      <c r="K320" s="35">
        <f t="shared" si="98"/>
        <v>500</v>
      </c>
      <c r="L320" s="67"/>
      <c r="M320" s="67"/>
    </row>
    <row r="321" spans="1:14" ht="39.75" customHeight="1" x14ac:dyDescent="0.25">
      <c r="A321" s="443"/>
      <c r="B321" s="437"/>
      <c r="C321" s="80"/>
      <c r="D321" s="90" t="s">
        <v>133</v>
      </c>
      <c r="E321" s="91">
        <f>E325</f>
        <v>0</v>
      </c>
      <c r="F321" s="91">
        <f t="shared" ref="F321:K321" si="99">F325</f>
        <v>0</v>
      </c>
      <c r="G321" s="91">
        <f t="shared" si="99"/>
        <v>0</v>
      </c>
      <c r="H321" s="91">
        <f t="shared" si="99"/>
        <v>0</v>
      </c>
      <c r="I321" s="91">
        <f t="shared" si="99"/>
        <v>0</v>
      </c>
      <c r="J321" s="91">
        <f t="shared" si="99"/>
        <v>0</v>
      </c>
      <c r="K321" s="91">
        <f t="shared" si="99"/>
        <v>0</v>
      </c>
      <c r="L321" s="71"/>
      <c r="M321" s="71"/>
    </row>
    <row r="322" spans="1:14" ht="41.25" customHeight="1" x14ac:dyDescent="0.25">
      <c r="A322" s="444"/>
      <c r="B322" s="438"/>
      <c r="C322" s="80"/>
      <c r="D322" s="86" t="s">
        <v>51</v>
      </c>
      <c r="E322" s="41">
        <f>+E326</f>
        <v>0</v>
      </c>
      <c r="F322" s="41">
        <f t="shared" ref="F322:K322" si="100">+F326</f>
        <v>0</v>
      </c>
      <c r="G322" s="41">
        <f t="shared" si="100"/>
        <v>0</v>
      </c>
      <c r="H322" s="41">
        <f t="shared" si="100"/>
        <v>0</v>
      </c>
      <c r="I322" s="41">
        <f t="shared" si="100"/>
        <v>0</v>
      </c>
      <c r="J322" s="41">
        <f t="shared" si="100"/>
        <v>0</v>
      </c>
      <c r="K322" s="41">
        <f t="shared" si="100"/>
        <v>0</v>
      </c>
      <c r="L322" s="40"/>
      <c r="M322" s="40"/>
    </row>
    <row r="323" spans="1:14" ht="31.5" customHeight="1" x14ac:dyDescent="0.25">
      <c r="A323" s="500" t="s">
        <v>67</v>
      </c>
      <c r="B323" s="503" t="s">
        <v>45</v>
      </c>
      <c r="C323" s="134"/>
      <c r="D323" s="85" t="s">
        <v>49</v>
      </c>
      <c r="E323" s="38">
        <f>E324+E325+E326</f>
        <v>0</v>
      </c>
      <c r="F323" s="38">
        <f t="shared" ref="F323:K323" si="101">F324+F325+F326</f>
        <v>1665.9</v>
      </c>
      <c r="G323" s="38">
        <f t="shared" si="101"/>
        <v>250</v>
      </c>
      <c r="H323" s="27">
        <f t="shared" si="101"/>
        <v>165.9</v>
      </c>
      <c r="I323" s="27">
        <f t="shared" si="101"/>
        <v>250</v>
      </c>
      <c r="J323" s="27">
        <f t="shared" si="101"/>
        <v>500</v>
      </c>
      <c r="K323" s="27">
        <f t="shared" si="101"/>
        <v>500</v>
      </c>
      <c r="L323" s="39" t="s">
        <v>50</v>
      </c>
      <c r="M323" s="39"/>
    </row>
    <row r="324" spans="1:14" ht="41.25" customHeight="1" x14ac:dyDescent="0.25">
      <c r="A324" s="501"/>
      <c r="B324" s="504"/>
      <c r="C324" s="134" t="s">
        <v>134</v>
      </c>
      <c r="D324" s="102" t="s">
        <v>132</v>
      </c>
      <c r="E324" s="74">
        <v>0</v>
      </c>
      <c r="F324" s="74">
        <f>G324+H324+I324+J324+K324</f>
        <v>1665.9</v>
      </c>
      <c r="G324" s="74">
        <f>250+250-250</f>
        <v>250</v>
      </c>
      <c r="H324" s="281">
        <v>165.9</v>
      </c>
      <c r="I324" s="81">
        <v>250</v>
      </c>
      <c r="J324" s="81">
        <v>500</v>
      </c>
      <c r="K324" s="81">
        <v>500</v>
      </c>
      <c r="L324" s="135" t="s">
        <v>50</v>
      </c>
      <c r="M324" s="135"/>
    </row>
    <row r="325" spans="1:14" ht="41.25" customHeight="1" x14ac:dyDescent="0.25">
      <c r="A325" s="501"/>
      <c r="B325" s="504"/>
      <c r="C325" s="134" t="s">
        <v>134</v>
      </c>
      <c r="D325" s="102" t="s">
        <v>133</v>
      </c>
      <c r="E325" s="81">
        <v>0</v>
      </c>
      <c r="F325" s="81">
        <f>G325+H325+I325+J325+K325</f>
        <v>0</v>
      </c>
      <c r="G325" s="81">
        <v>0</v>
      </c>
      <c r="H325" s="81">
        <v>0</v>
      </c>
      <c r="I325" s="81">
        <v>0</v>
      </c>
      <c r="J325" s="81">
        <v>0</v>
      </c>
      <c r="K325" s="81">
        <v>0</v>
      </c>
      <c r="L325" s="135" t="s">
        <v>50</v>
      </c>
      <c r="M325" s="135"/>
    </row>
    <row r="326" spans="1:14" ht="41.25" customHeight="1" x14ac:dyDescent="0.25">
      <c r="A326" s="502"/>
      <c r="B326" s="505"/>
      <c r="C326" s="135" t="s">
        <v>134</v>
      </c>
      <c r="D326" s="84" t="s">
        <v>51</v>
      </c>
      <c r="E326" s="74">
        <v>0</v>
      </c>
      <c r="F326" s="74">
        <f>G326+H326+I326+J326+K326</f>
        <v>0</v>
      </c>
      <c r="G326" s="74">
        <v>0</v>
      </c>
      <c r="H326" s="74">
        <v>0</v>
      </c>
      <c r="I326" s="74">
        <v>0</v>
      </c>
      <c r="J326" s="74">
        <v>0</v>
      </c>
      <c r="K326" s="74">
        <v>0</v>
      </c>
      <c r="L326" s="135" t="s">
        <v>50</v>
      </c>
      <c r="M326" s="135"/>
    </row>
    <row r="327" spans="1:14" ht="32.25" customHeight="1" x14ac:dyDescent="0.25">
      <c r="A327" s="474" t="s">
        <v>52</v>
      </c>
      <c r="B327" s="475"/>
      <c r="C327" s="95"/>
      <c r="D327" s="32" t="s">
        <v>11</v>
      </c>
      <c r="E327" s="75">
        <f t="shared" ref="E327:K330" si="102">E219+E319</f>
        <v>0</v>
      </c>
      <c r="F327" s="75">
        <f t="shared" si="102"/>
        <v>702977.49999999988</v>
      </c>
      <c r="G327" s="75">
        <f t="shared" si="102"/>
        <v>136867.29999999999</v>
      </c>
      <c r="H327" s="75">
        <f t="shared" si="102"/>
        <v>136347.1</v>
      </c>
      <c r="I327" s="75">
        <f t="shared" si="102"/>
        <v>135706.69999999998</v>
      </c>
      <c r="J327" s="75">
        <f t="shared" si="102"/>
        <v>143883.80000000002</v>
      </c>
      <c r="K327" s="75">
        <f t="shared" si="102"/>
        <v>150172.60000000003</v>
      </c>
      <c r="L327" s="80"/>
      <c r="M327" s="80"/>
    </row>
    <row r="328" spans="1:14" ht="38.25" x14ac:dyDescent="0.25">
      <c r="A328" s="476"/>
      <c r="B328" s="477"/>
      <c r="C328" s="95"/>
      <c r="D328" s="32" t="s">
        <v>138</v>
      </c>
      <c r="E328" s="75">
        <f t="shared" si="102"/>
        <v>0</v>
      </c>
      <c r="F328" s="75">
        <f t="shared" si="102"/>
        <v>691760.29999999993</v>
      </c>
      <c r="G328" s="75">
        <f>G220+G320</f>
        <v>125650.09999999999</v>
      </c>
      <c r="H328" s="75">
        <f t="shared" si="102"/>
        <v>136347.1</v>
      </c>
      <c r="I328" s="75">
        <f t="shared" si="102"/>
        <v>135706.69999999998</v>
      </c>
      <c r="J328" s="75">
        <f t="shared" si="102"/>
        <v>143883.80000000002</v>
      </c>
      <c r="K328" s="75">
        <f t="shared" si="102"/>
        <v>150172.60000000003</v>
      </c>
      <c r="L328" s="67"/>
      <c r="M328" s="67"/>
      <c r="N328" s="17"/>
    </row>
    <row r="329" spans="1:14" ht="51" x14ac:dyDescent="0.25">
      <c r="A329" s="476"/>
      <c r="B329" s="477"/>
      <c r="C329" s="95"/>
      <c r="D329" s="42" t="s">
        <v>72</v>
      </c>
      <c r="E329" s="43">
        <f t="shared" si="102"/>
        <v>0</v>
      </c>
      <c r="F329" s="43">
        <f t="shared" si="102"/>
        <v>11217.2</v>
      </c>
      <c r="G329" s="43">
        <f t="shared" si="102"/>
        <v>11217.2</v>
      </c>
      <c r="H329" s="43">
        <f t="shared" si="102"/>
        <v>0</v>
      </c>
      <c r="I329" s="43">
        <f t="shared" si="102"/>
        <v>0</v>
      </c>
      <c r="J329" s="43">
        <f t="shared" si="102"/>
        <v>0</v>
      </c>
      <c r="K329" s="43">
        <f t="shared" si="102"/>
        <v>0</v>
      </c>
      <c r="L329" s="71"/>
      <c r="M329" s="71"/>
    </row>
    <row r="330" spans="1:14" ht="38.25" x14ac:dyDescent="0.25">
      <c r="A330" s="478"/>
      <c r="B330" s="479"/>
      <c r="C330" s="95"/>
      <c r="D330" s="89" t="s">
        <v>51</v>
      </c>
      <c r="E330" s="46">
        <f t="shared" si="102"/>
        <v>0</v>
      </c>
      <c r="F330" s="46">
        <f t="shared" si="102"/>
        <v>0</v>
      </c>
      <c r="G330" s="46">
        <f t="shared" si="102"/>
        <v>0</v>
      </c>
      <c r="H330" s="46">
        <f t="shared" si="102"/>
        <v>0</v>
      </c>
      <c r="I330" s="46">
        <f t="shared" si="102"/>
        <v>0</v>
      </c>
      <c r="J330" s="46">
        <f t="shared" si="102"/>
        <v>0</v>
      </c>
      <c r="K330" s="46">
        <f t="shared" si="102"/>
        <v>0</v>
      </c>
      <c r="L330" s="45"/>
      <c r="M330" s="45"/>
    </row>
    <row r="331" spans="1:14" ht="35.25" customHeight="1" x14ac:dyDescent="0.25">
      <c r="A331" s="96"/>
      <c r="B331" s="480" t="s">
        <v>191</v>
      </c>
      <c r="C331" s="480"/>
      <c r="D331" s="480"/>
      <c r="E331" s="480"/>
      <c r="F331" s="480"/>
      <c r="G331" s="480"/>
      <c r="H331" s="480"/>
      <c r="I331" s="480"/>
      <c r="J331" s="480"/>
      <c r="K331" s="480"/>
      <c r="L331" s="480"/>
      <c r="M331" s="481"/>
    </row>
    <row r="332" spans="1:14" ht="30" customHeight="1" x14ac:dyDescent="0.25">
      <c r="A332" s="442" t="s">
        <v>213</v>
      </c>
      <c r="B332" s="464" t="s">
        <v>217</v>
      </c>
      <c r="C332" s="92"/>
      <c r="D332" s="32" t="s">
        <v>49</v>
      </c>
      <c r="E332" s="75">
        <f>E333+E334+E335</f>
        <v>0</v>
      </c>
      <c r="F332" s="75">
        <f t="shared" ref="F332:K332" si="103">F333+F334+F335</f>
        <v>31338.6</v>
      </c>
      <c r="G332" s="75">
        <f t="shared" si="103"/>
        <v>5330.2000000000007</v>
      </c>
      <c r="H332" s="75">
        <f t="shared" si="103"/>
        <v>6663.3</v>
      </c>
      <c r="I332" s="75">
        <f t="shared" si="103"/>
        <v>6854.3</v>
      </c>
      <c r="J332" s="75">
        <f t="shared" si="103"/>
        <v>6861.7000000000007</v>
      </c>
      <c r="K332" s="75">
        <f t="shared" si="103"/>
        <v>5629.1</v>
      </c>
      <c r="L332" s="80"/>
      <c r="M332" s="80"/>
    </row>
    <row r="333" spans="1:14" ht="38.25" x14ac:dyDescent="0.25">
      <c r="A333" s="443"/>
      <c r="B333" s="465"/>
      <c r="C333" s="80"/>
      <c r="D333" s="80" t="s">
        <v>121</v>
      </c>
      <c r="E333" s="35">
        <f>E337+E373</f>
        <v>0</v>
      </c>
      <c r="F333" s="35">
        <f t="shared" ref="F333:K333" si="104">F337+F373</f>
        <v>30766</v>
      </c>
      <c r="G333" s="35">
        <f t="shared" si="104"/>
        <v>4757.6000000000004</v>
      </c>
      <c r="H333" s="35">
        <f t="shared" si="104"/>
        <v>6663.3</v>
      </c>
      <c r="I333" s="35">
        <f t="shared" si="104"/>
        <v>6854.3</v>
      </c>
      <c r="J333" s="35">
        <f t="shared" si="104"/>
        <v>6861.7000000000007</v>
      </c>
      <c r="K333" s="35">
        <f t="shared" si="104"/>
        <v>5629.1</v>
      </c>
      <c r="L333" s="83"/>
      <c r="M333" s="80"/>
    </row>
    <row r="334" spans="1:14" ht="38.25" x14ac:dyDescent="0.25">
      <c r="A334" s="443"/>
      <c r="B334" s="465"/>
      <c r="C334" s="80"/>
      <c r="D334" s="90" t="s">
        <v>133</v>
      </c>
      <c r="E334" s="91">
        <f>E338+E374</f>
        <v>0</v>
      </c>
      <c r="F334" s="91">
        <f t="shared" ref="F334:K334" si="105">F338+F374</f>
        <v>572.6</v>
      </c>
      <c r="G334" s="91">
        <f t="shared" si="105"/>
        <v>572.6</v>
      </c>
      <c r="H334" s="91">
        <f t="shared" si="105"/>
        <v>0</v>
      </c>
      <c r="I334" s="91">
        <f t="shared" si="105"/>
        <v>0</v>
      </c>
      <c r="J334" s="91">
        <f t="shared" si="105"/>
        <v>0</v>
      </c>
      <c r="K334" s="91">
        <f t="shared" si="105"/>
        <v>0</v>
      </c>
      <c r="L334" s="93"/>
      <c r="M334" s="71"/>
    </row>
    <row r="335" spans="1:14" ht="38.25" x14ac:dyDescent="0.25">
      <c r="A335" s="444"/>
      <c r="B335" s="466"/>
      <c r="C335" s="80"/>
      <c r="D335" s="86" t="s">
        <v>51</v>
      </c>
      <c r="E335" s="41">
        <f>E339+E375</f>
        <v>0</v>
      </c>
      <c r="F335" s="41">
        <f t="shared" ref="F335:K335" si="106">F339+F375</f>
        <v>0</v>
      </c>
      <c r="G335" s="41">
        <f t="shared" si="106"/>
        <v>0</v>
      </c>
      <c r="H335" s="41">
        <f t="shared" si="106"/>
        <v>0</v>
      </c>
      <c r="I335" s="41">
        <f t="shared" si="106"/>
        <v>0</v>
      </c>
      <c r="J335" s="41">
        <f t="shared" si="106"/>
        <v>0</v>
      </c>
      <c r="K335" s="41">
        <f t="shared" si="106"/>
        <v>0</v>
      </c>
      <c r="L335" s="94"/>
      <c r="M335" s="40"/>
    </row>
    <row r="336" spans="1:14" ht="22.5" customHeight="1" x14ac:dyDescent="0.25">
      <c r="A336" s="439" t="s">
        <v>71</v>
      </c>
      <c r="B336" s="429" t="s">
        <v>514</v>
      </c>
      <c r="C336" s="136"/>
      <c r="D336" s="137" t="s">
        <v>49</v>
      </c>
      <c r="E336" s="138">
        <f t="shared" ref="E336:K336" si="107">E337+E338+E339</f>
        <v>0</v>
      </c>
      <c r="F336" s="141">
        <f t="shared" si="107"/>
        <v>28692.1</v>
      </c>
      <c r="G336" s="141">
        <f t="shared" si="107"/>
        <v>5330.2000000000007</v>
      </c>
      <c r="H336" s="141">
        <f t="shared" si="107"/>
        <v>5925.1</v>
      </c>
      <c r="I336" s="141">
        <f t="shared" si="107"/>
        <v>6218.2</v>
      </c>
      <c r="J336" s="141">
        <f t="shared" si="107"/>
        <v>6225.6</v>
      </c>
      <c r="K336" s="141">
        <f t="shared" si="107"/>
        <v>4993</v>
      </c>
      <c r="L336" s="257"/>
      <c r="M336" s="136"/>
    </row>
    <row r="337" spans="1:13" ht="38.25" x14ac:dyDescent="0.25">
      <c r="A337" s="440"/>
      <c r="B337" s="430"/>
      <c r="C337" s="136" t="s">
        <v>134</v>
      </c>
      <c r="D337" s="140" t="s">
        <v>132</v>
      </c>
      <c r="E337" s="141">
        <f t="shared" ref="E337:K339" si="108">E341+E345+E349+E353+E357+E361+E365+E369</f>
        <v>0</v>
      </c>
      <c r="F337" s="141">
        <f t="shared" si="108"/>
        <v>28119.5</v>
      </c>
      <c r="G337" s="141">
        <f t="shared" si="108"/>
        <v>4757.6000000000004</v>
      </c>
      <c r="H337" s="141">
        <f t="shared" si="108"/>
        <v>5925.1</v>
      </c>
      <c r="I337" s="141">
        <f t="shared" si="108"/>
        <v>6218.2</v>
      </c>
      <c r="J337" s="141">
        <f t="shared" si="108"/>
        <v>6225.6</v>
      </c>
      <c r="K337" s="141">
        <f t="shared" si="108"/>
        <v>4993</v>
      </c>
      <c r="L337" s="257"/>
      <c r="M337" s="136"/>
    </row>
    <row r="338" spans="1:13" ht="38.25" x14ac:dyDescent="0.25">
      <c r="A338" s="440"/>
      <c r="B338" s="430"/>
      <c r="C338" s="136" t="s">
        <v>134</v>
      </c>
      <c r="D338" s="140" t="s">
        <v>133</v>
      </c>
      <c r="E338" s="141">
        <f t="shared" si="108"/>
        <v>0</v>
      </c>
      <c r="F338" s="141">
        <f t="shared" si="108"/>
        <v>572.6</v>
      </c>
      <c r="G338" s="141">
        <f t="shared" si="108"/>
        <v>572.6</v>
      </c>
      <c r="H338" s="141">
        <f t="shared" si="108"/>
        <v>0</v>
      </c>
      <c r="I338" s="141">
        <f t="shared" si="108"/>
        <v>0</v>
      </c>
      <c r="J338" s="141">
        <f t="shared" si="108"/>
        <v>0</v>
      </c>
      <c r="K338" s="141">
        <f t="shared" si="108"/>
        <v>0</v>
      </c>
      <c r="L338" s="257"/>
      <c r="M338" s="136"/>
    </row>
    <row r="339" spans="1:13" ht="38.25" x14ac:dyDescent="0.25">
      <c r="A339" s="441"/>
      <c r="B339" s="431"/>
      <c r="C339" s="136" t="s">
        <v>134</v>
      </c>
      <c r="D339" s="140" t="s">
        <v>51</v>
      </c>
      <c r="E339" s="141">
        <f t="shared" si="108"/>
        <v>0</v>
      </c>
      <c r="F339" s="141">
        <f t="shared" si="108"/>
        <v>0</v>
      </c>
      <c r="G339" s="141">
        <f t="shared" si="108"/>
        <v>0</v>
      </c>
      <c r="H339" s="141">
        <f t="shared" si="108"/>
        <v>0</v>
      </c>
      <c r="I339" s="141">
        <f t="shared" si="108"/>
        <v>0</v>
      </c>
      <c r="J339" s="141">
        <f t="shared" si="108"/>
        <v>0</v>
      </c>
      <c r="K339" s="141">
        <f t="shared" si="108"/>
        <v>0</v>
      </c>
      <c r="L339" s="257"/>
      <c r="M339" s="136"/>
    </row>
    <row r="340" spans="1:13" ht="38.25" x14ac:dyDescent="0.25">
      <c r="A340" s="458" t="s">
        <v>62</v>
      </c>
      <c r="B340" s="461" t="s">
        <v>296</v>
      </c>
      <c r="C340" s="184"/>
      <c r="D340" s="185" t="s">
        <v>49</v>
      </c>
      <c r="E340" s="38">
        <f>E341+E342+E343</f>
        <v>0</v>
      </c>
      <c r="F340" s="38">
        <f t="shared" ref="F340:K340" si="109">F341+F342+F343</f>
        <v>22645.8</v>
      </c>
      <c r="G340" s="38">
        <f t="shared" si="109"/>
        <v>3779.6</v>
      </c>
      <c r="H340" s="38">
        <f t="shared" si="109"/>
        <v>5024.7</v>
      </c>
      <c r="I340" s="186">
        <f t="shared" si="109"/>
        <v>5024.7</v>
      </c>
      <c r="J340" s="186">
        <f t="shared" si="109"/>
        <v>5024.7</v>
      </c>
      <c r="K340" s="186">
        <f t="shared" si="109"/>
        <v>3792.1</v>
      </c>
      <c r="L340" s="184" t="s">
        <v>254</v>
      </c>
      <c r="M340" s="184"/>
    </row>
    <row r="341" spans="1:13" ht="38.25" x14ac:dyDescent="0.25">
      <c r="A341" s="459"/>
      <c r="B341" s="462"/>
      <c r="C341" s="184" t="s">
        <v>134</v>
      </c>
      <c r="D341" s="187" t="s">
        <v>132</v>
      </c>
      <c r="E341" s="74">
        <v>0</v>
      </c>
      <c r="F341" s="74">
        <f>G341+H341+I341+J341+K341</f>
        <v>22645.8</v>
      </c>
      <c r="G341" s="74">
        <f>3700+79.6</f>
        <v>3779.6</v>
      </c>
      <c r="H341" s="281">
        <f>3792.1+1232.6</f>
        <v>5024.7</v>
      </c>
      <c r="I341" s="188">
        <f>3792.1+1232.6</f>
        <v>5024.7</v>
      </c>
      <c r="J341" s="188">
        <f>3792.1+1232.6</f>
        <v>5024.7</v>
      </c>
      <c r="K341" s="188">
        <v>3792.1</v>
      </c>
      <c r="L341" s="184" t="s">
        <v>254</v>
      </c>
      <c r="M341" s="184"/>
    </row>
    <row r="342" spans="1:13" ht="38.25" x14ac:dyDescent="0.25">
      <c r="A342" s="459"/>
      <c r="B342" s="462"/>
      <c r="C342" s="184" t="s">
        <v>134</v>
      </c>
      <c r="D342" s="187" t="s">
        <v>133</v>
      </c>
      <c r="E342" s="74">
        <v>0</v>
      </c>
      <c r="F342" s="74">
        <f>G342+H342+I342+J342+K342</f>
        <v>0</v>
      </c>
      <c r="G342" s="74">
        <v>0</v>
      </c>
      <c r="H342" s="74">
        <v>0</v>
      </c>
      <c r="I342" s="188">
        <v>0</v>
      </c>
      <c r="J342" s="188">
        <v>0</v>
      </c>
      <c r="K342" s="188">
        <v>0</v>
      </c>
      <c r="L342" s="184" t="s">
        <v>254</v>
      </c>
      <c r="M342" s="184"/>
    </row>
    <row r="343" spans="1:13" ht="38.25" x14ac:dyDescent="0.25">
      <c r="A343" s="460"/>
      <c r="B343" s="463"/>
      <c r="C343" s="184" t="s">
        <v>134</v>
      </c>
      <c r="D343" s="187" t="s">
        <v>51</v>
      </c>
      <c r="E343" s="74">
        <v>0</v>
      </c>
      <c r="F343" s="74">
        <f>G343+H343+I343+J343+K343</f>
        <v>0</v>
      </c>
      <c r="G343" s="74">
        <v>0</v>
      </c>
      <c r="H343" s="74">
        <v>0</v>
      </c>
      <c r="I343" s="188">
        <v>0</v>
      </c>
      <c r="J343" s="188">
        <v>0</v>
      </c>
      <c r="K343" s="188">
        <v>0</v>
      </c>
      <c r="L343" s="184" t="s">
        <v>254</v>
      </c>
      <c r="M343" s="184"/>
    </row>
    <row r="344" spans="1:13" ht="25.5" customHeight="1" x14ac:dyDescent="0.25">
      <c r="A344" s="458" t="s">
        <v>64</v>
      </c>
      <c r="B344" s="461" t="s">
        <v>322</v>
      </c>
      <c r="C344" s="184"/>
      <c r="D344" s="185" t="s">
        <v>49</v>
      </c>
      <c r="E344" s="38">
        <f>E345+E346+E347</f>
        <v>0</v>
      </c>
      <c r="F344" s="38">
        <f t="shared" ref="F344:K344" si="110">F345+F346+F347</f>
        <v>586</v>
      </c>
      <c r="G344" s="38">
        <f t="shared" si="110"/>
        <v>586</v>
      </c>
      <c r="H344" s="38">
        <f t="shared" si="110"/>
        <v>0</v>
      </c>
      <c r="I344" s="186">
        <f t="shared" si="110"/>
        <v>0</v>
      </c>
      <c r="J344" s="186">
        <f t="shared" si="110"/>
        <v>0</v>
      </c>
      <c r="K344" s="186">
        <f t="shared" si="110"/>
        <v>0</v>
      </c>
      <c r="L344" s="184" t="s">
        <v>254</v>
      </c>
      <c r="M344" s="190"/>
    </row>
    <row r="345" spans="1:13" ht="38.25" x14ac:dyDescent="0.25">
      <c r="A345" s="459"/>
      <c r="B345" s="462"/>
      <c r="C345" s="184" t="s">
        <v>134</v>
      </c>
      <c r="D345" s="187" t="s">
        <v>132</v>
      </c>
      <c r="E345" s="74">
        <v>0</v>
      </c>
      <c r="F345" s="74">
        <f>G345+H345+I345+J345+K345</f>
        <v>50.4</v>
      </c>
      <c r="G345" s="74">
        <v>50.4</v>
      </c>
      <c r="H345" s="74">
        <v>0</v>
      </c>
      <c r="I345" s="188">
        <v>0</v>
      </c>
      <c r="J345" s="188">
        <v>0</v>
      </c>
      <c r="K345" s="188">
        <v>0</v>
      </c>
      <c r="L345" s="184" t="s">
        <v>254</v>
      </c>
      <c r="M345" s="184"/>
    </row>
    <row r="346" spans="1:13" ht="38.25" x14ac:dyDescent="0.25">
      <c r="A346" s="459"/>
      <c r="B346" s="462"/>
      <c r="C346" s="184" t="s">
        <v>134</v>
      </c>
      <c r="D346" s="187" t="s">
        <v>133</v>
      </c>
      <c r="E346" s="74">
        <v>0</v>
      </c>
      <c r="F346" s="74">
        <f>G346+H346+I346+J346+K346</f>
        <v>535.6</v>
      </c>
      <c r="G346" s="74">
        <v>535.6</v>
      </c>
      <c r="H346" s="74">
        <v>0</v>
      </c>
      <c r="I346" s="188">
        <v>0</v>
      </c>
      <c r="J346" s="188">
        <v>0</v>
      </c>
      <c r="K346" s="188">
        <v>0</v>
      </c>
      <c r="L346" s="184" t="s">
        <v>254</v>
      </c>
      <c r="M346" s="184"/>
    </row>
    <row r="347" spans="1:13" ht="38.25" x14ac:dyDescent="0.25">
      <c r="A347" s="460"/>
      <c r="B347" s="463"/>
      <c r="C347" s="184" t="s">
        <v>134</v>
      </c>
      <c r="D347" s="187" t="s">
        <v>51</v>
      </c>
      <c r="E347" s="74">
        <v>0</v>
      </c>
      <c r="F347" s="74">
        <f>G347+H347+I347+J347+K347</f>
        <v>0</v>
      </c>
      <c r="G347" s="74">
        <v>0</v>
      </c>
      <c r="H347" s="74">
        <v>0</v>
      </c>
      <c r="I347" s="188">
        <v>0</v>
      </c>
      <c r="J347" s="188">
        <v>0</v>
      </c>
      <c r="K347" s="188">
        <v>0</v>
      </c>
      <c r="L347" s="184" t="s">
        <v>254</v>
      </c>
      <c r="M347" s="184"/>
    </row>
    <row r="348" spans="1:13" ht="25.5" customHeight="1" x14ac:dyDescent="0.25">
      <c r="A348" s="458" t="s">
        <v>215</v>
      </c>
      <c r="B348" s="461" t="s">
        <v>299</v>
      </c>
      <c r="C348" s="184"/>
      <c r="D348" s="185" t="s">
        <v>49</v>
      </c>
      <c r="E348" s="38">
        <f>E349+E350+E351</f>
        <v>0</v>
      </c>
      <c r="F348" s="38">
        <f t="shared" ref="F348:K348" si="111">F349+F350+F351</f>
        <v>1001.2</v>
      </c>
      <c r="G348" s="38">
        <f t="shared" si="111"/>
        <v>243.6</v>
      </c>
      <c r="H348" s="38">
        <f t="shared" si="111"/>
        <v>185.7</v>
      </c>
      <c r="I348" s="186">
        <f t="shared" si="111"/>
        <v>185.7</v>
      </c>
      <c r="J348" s="186">
        <f t="shared" si="111"/>
        <v>193.1</v>
      </c>
      <c r="K348" s="186">
        <f t="shared" si="111"/>
        <v>193.1</v>
      </c>
      <c r="L348" s="184" t="s">
        <v>254</v>
      </c>
      <c r="M348" s="184"/>
    </row>
    <row r="349" spans="1:13" ht="38.25" x14ac:dyDescent="0.25">
      <c r="A349" s="459"/>
      <c r="B349" s="462"/>
      <c r="C349" s="184" t="s">
        <v>134</v>
      </c>
      <c r="D349" s="187" t="s">
        <v>132</v>
      </c>
      <c r="E349" s="74">
        <v>0</v>
      </c>
      <c r="F349" s="74">
        <f>G349+H349+I349+J349+K349</f>
        <v>1001.2</v>
      </c>
      <c r="G349" s="74">
        <v>243.6</v>
      </c>
      <c r="H349" s="281">
        <v>185.7</v>
      </c>
      <c r="I349" s="188">
        <v>185.7</v>
      </c>
      <c r="J349" s="188">
        <v>193.1</v>
      </c>
      <c r="K349" s="188">
        <v>193.1</v>
      </c>
      <c r="L349" s="184" t="s">
        <v>254</v>
      </c>
      <c r="M349" s="184"/>
    </row>
    <row r="350" spans="1:13" ht="38.25" x14ac:dyDescent="0.25">
      <c r="A350" s="459"/>
      <c r="B350" s="462"/>
      <c r="C350" s="184" t="s">
        <v>134</v>
      </c>
      <c r="D350" s="187" t="s">
        <v>133</v>
      </c>
      <c r="E350" s="74">
        <v>0</v>
      </c>
      <c r="F350" s="74">
        <f>G350+H350+I350+J350+K350</f>
        <v>0</v>
      </c>
      <c r="G350" s="74">
        <v>0</v>
      </c>
      <c r="H350" s="74">
        <v>0</v>
      </c>
      <c r="I350" s="188">
        <v>0</v>
      </c>
      <c r="J350" s="188">
        <v>0</v>
      </c>
      <c r="K350" s="188">
        <v>0</v>
      </c>
      <c r="L350" s="184" t="s">
        <v>254</v>
      </c>
      <c r="M350" s="184"/>
    </row>
    <row r="351" spans="1:13" ht="38.25" x14ac:dyDescent="0.25">
      <c r="A351" s="460"/>
      <c r="B351" s="463"/>
      <c r="C351" s="184" t="s">
        <v>134</v>
      </c>
      <c r="D351" s="187" t="s">
        <v>51</v>
      </c>
      <c r="E351" s="74">
        <v>0</v>
      </c>
      <c r="F351" s="74">
        <f>G351+H351+I351+J351+K351</f>
        <v>0</v>
      </c>
      <c r="G351" s="74">
        <v>0</v>
      </c>
      <c r="H351" s="74">
        <v>0</v>
      </c>
      <c r="I351" s="188">
        <v>0</v>
      </c>
      <c r="J351" s="188">
        <v>0</v>
      </c>
      <c r="K351" s="188">
        <v>0</v>
      </c>
      <c r="L351" s="184" t="s">
        <v>254</v>
      </c>
      <c r="M351" s="184"/>
    </row>
    <row r="352" spans="1:13" ht="33.75" customHeight="1" x14ac:dyDescent="0.25">
      <c r="A352" s="483" t="s">
        <v>276</v>
      </c>
      <c r="B352" s="461" t="s">
        <v>370</v>
      </c>
      <c r="C352" s="184"/>
      <c r="D352" s="185" t="s">
        <v>49</v>
      </c>
      <c r="E352" s="38">
        <f>E353+E354+E355</f>
        <v>0</v>
      </c>
      <c r="F352" s="38">
        <f t="shared" ref="F352:K352" si="112">F353+F354+F355</f>
        <v>1081.3</v>
      </c>
      <c r="G352" s="38">
        <f t="shared" si="112"/>
        <v>268.39999999999998</v>
      </c>
      <c r="H352" s="38">
        <f t="shared" si="112"/>
        <v>155.6</v>
      </c>
      <c r="I352" s="186">
        <f t="shared" si="112"/>
        <v>219.1</v>
      </c>
      <c r="J352" s="186">
        <f t="shared" si="112"/>
        <v>219.1</v>
      </c>
      <c r="K352" s="186">
        <f t="shared" si="112"/>
        <v>219.1</v>
      </c>
      <c r="L352" s="184" t="s">
        <v>254</v>
      </c>
      <c r="M352" s="184"/>
    </row>
    <row r="353" spans="1:13" ht="38.25" x14ac:dyDescent="0.25">
      <c r="A353" s="483"/>
      <c r="B353" s="462"/>
      <c r="C353" s="184" t="s">
        <v>134</v>
      </c>
      <c r="D353" s="187" t="s">
        <v>132</v>
      </c>
      <c r="E353" s="74">
        <v>0</v>
      </c>
      <c r="F353" s="74">
        <f>G353+H353+I353+J353+K353</f>
        <v>1081.3</v>
      </c>
      <c r="G353" s="74">
        <f>346.4-78</f>
        <v>268.39999999999998</v>
      </c>
      <c r="H353" s="281">
        <f>219.1-63.5</f>
        <v>155.6</v>
      </c>
      <c r="I353" s="74">
        <v>219.1</v>
      </c>
      <c r="J353" s="74">
        <v>219.1</v>
      </c>
      <c r="K353" s="74">
        <v>219.1</v>
      </c>
      <c r="L353" s="184" t="s">
        <v>254</v>
      </c>
      <c r="M353" s="184"/>
    </row>
    <row r="354" spans="1:13" ht="38.25" x14ac:dyDescent="0.25">
      <c r="A354" s="483"/>
      <c r="B354" s="462"/>
      <c r="C354" s="184" t="s">
        <v>134</v>
      </c>
      <c r="D354" s="187" t="s">
        <v>133</v>
      </c>
      <c r="E354" s="74">
        <v>0</v>
      </c>
      <c r="F354" s="74">
        <f>G354+H354+I354+J354+K354</f>
        <v>0</v>
      </c>
      <c r="G354" s="74">
        <v>0</v>
      </c>
      <c r="H354" s="74">
        <v>0</v>
      </c>
      <c r="I354" s="188">
        <v>0</v>
      </c>
      <c r="J354" s="188">
        <v>0</v>
      </c>
      <c r="K354" s="188">
        <v>0</v>
      </c>
      <c r="L354" s="184" t="s">
        <v>254</v>
      </c>
      <c r="M354" s="184"/>
    </row>
    <row r="355" spans="1:13" ht="38.25" x14ac:dyDescent="0.25">
      <c r="A355" s="483"/>
      <c r="B355" s="463"/>
      <c r="C355" s="184" t="s">
        <v>134</v>
      </c>
      <c r="D355" s="187" t="s">
        <v>51</v>
      </c>
      <c r="E355" s="74">
        <v>0</v>
      </c>
      <c r="F355" s="74">
        <f>G355+H355+I355+J355+K355</f>
        <v>0</v>
      </c>
      <c r="G355" s="74">
        <v>0</v>
      </c>
      <c r="H355" s="74">
        <v>0</v>
      </c>
      <c r="I355" s="188">
        <v>0</v>
      </c>
      <c r="J355" s="188">
        <v>0</v>
      </c>
      <c r="K355" s="188">
        <v>0</v>
      </c>
      <c r="L355" s="184" t="s">
        <v>254</v>
      </c>
      <c r="M355" s="184"/>
    </row>
    <row r="356" spans="1:13" ht="38.25" x14ac:dyDescent="0.25">
      <c r="A356" s="483" t="s">
        <v>277</v>
      </c>
      <c r="B356" s="482" t="s">
        <v>351</v>
      </c>
      <c r="C356" s="184"/>
      <c r="D356" s="185" t="s">
        <v>49</v>
      </c>
      <c r="E356" s="38">
        <f>E357+E358+E359</f>
        <v>0</v>
      </c>
      <c r="F356" s="38">
        <f t="shared" ref="F356:K356" si="113">F357+F358+F359</f>
        <v>351.09999999999997</v>
      </c>
      <c r="G356" s="38">
        <f t="shared" si="113"/>
        <v>3</v>
      </c>
      <c r="H356" s="38">
        <f t="shared" si="113"/>
        <v>40</v>
      </c>
      <c r="I356" s="186">
        <f t="shared" si="113"/>
        <v>102.7</v>
      </c>
      <c r="J356" s="186">
        <f t="shared" si="113"/>
        <v>102.7</v>
      </c>
      <c r="K356" s="186">
        <f t="shared" si="113"/>
        <v>102.7</v>
      </c>
      <c r="L356" s="184" t="s">
        <v>254</v>
      </c>
      <c r="M356" s="184"/>
    </row>
    <row r="357" spans="1:13" ht="38.25" x14ac:dyDescent="0.25">
      <c r="A357" s="483"/>
      <c r="B357" s="482"/>
      <c r="C357" s="184" t="s">
        <v>134</v>
      </c>
      <c r="D357" s="187" t="s">
        <v>132</v>
      </c>
      <c r="E357" s="74">
        <v>0</v>
      </c>
      <c r="F357" s="74">
        <f>G357+H357+I357+J357+K357</f>
        <v>351.09999999999997</v>
      </c>
      <c r="G357" s="74">
        <v>3</v>
      </c>
      <c r="H357" s="281">
        <v>40</v>
      </c>
      <c r="I357" s="188">
        <v>102.7</v>
      </c>
      <c r="J357" s="188">
        <v>102.7</v>
      </c>
      <c r="K357" s="188">
        <v>102.7</v>
      </c>
      <c r="L357" s="184" t="s">
        <v>254</v>
      </c>
      <c r="M357" s="184"/>
    </row>
    <row r="358" spans="1:13" ht="38.25" x14ac:dyDescent="0.25">
      <c r="A358" s="483"/>
      <c r="B358" s="482"/>
      <c r="C358" s="184" t="s">
        <v>134</v>
      </c>
      <c r="D358" s="187" t="s">
        <v>133</v>
      </c>
      <c r="E358" s="74">
        <v>0</v>
      </c>
      <c r="F358" s="74">
        <f>G358+H358+I358+J358+K358</f>
        <v>0</v>
      </c>
      <c r="G358" s="74">
        <v>0</v>
      </c>
      <c r="H358" s="74">
        <v>0</v>
      </c>
      <c r="I358" s="188">
        <v>0</v>
      </c>
      <c r="J358" s="188">
        <v>0</v>
      </c>
      <c r="K358" s="188">
        <v>0</v>
      </c>
      <c r="L358" s="184" t="s">
        <v>254</v>
      </c>
      <c r="M358" s="184"/>
    </row>
    <row r="359" spans="1:13" ht="38.25" x14ac:dyDescent="0.25">
      <c r="A359" s="483"/>
      <c r="B359" s="482"/>
      <c r="C359" s="184" t="s">
        <v>134</v>
      </c>
      <c r="D359" s="187" t="s">
        <v>51</v>
      </c>
      <c r="E359" s="74">
        <v>0</v>
      </c>
      <c r="F359" s="74">
        <f>G359+H359+I359+J359+K359</f>
        <v>0</v>
      </c>
      <c r="G359" s="74">
        <v>0</v>
      </c>
      <c r="H359" s="74">
        <v>0</v>
      </c>
      <c r="I359" s="188">
        <v>0</v>
      </c>
      <c r="J359" s="188">
        <v>0</v>
      </c>
      <c r="K359" s="188">
        <v>0</v>
      </c>
      <c r="L359" s="184" t="s">
        <v>254</v>
      </c>
      <c r="M359" s="184"/>
    </row>
    <row r="360" spans="1:13" ht="25.5" customHeight="1" x14ac:dyDescent="0.25">
      <c r="A360" s="458" t="s">
        <v>278</v>
      </c>
      <c r="B360" s="426" t="s">
        <v>405</v>
      </c>
      <c r="C360" s="255"/>
      <c r="D360" s="178" t="s">
        <v>49</v>
      </c>
      <c r="E360" s="38">
        <f>E361+E362+E363</f>
        <v>0</v>
      </c>
      <c r="F360" s="38">
        <f t="shared" ref="F360:K360" si="114">F361+F362+F363</f>
        <v>1001.9000000000001</v>
      </c>
      <c r="G360" s="38">
        <f t="shared" si="114"/>
        <v>78</v>
      </c>
      <c r="H360" s="38">
        <f t="shared" si="114"/>
        <v>105.8</v>
      </c>
      <c r="I360" s="38">
        <f t="shared" si="114"/>
        <v>272.7</v>
      </c>
      <c r="J360" s="38">
        <f t="shared" si="114"/>
        <v>272.7</v>
      </c>
      <c r="K360" s="38">
        <f t="shared" si="114"/>
        <v>272.7</v>
      </c>
      <c r="L360" s="184" t="s">
        <v>254</v>
      </c>
      <c r="M360" s="39"/>
    </row>
    <row r="361" spans="1:13" ht="38.25" x14ac:dyDescent="0.25">
      <c r="A361" s="459"/>
      <c r="B361" s="427"/>
      <c r="C361" s="255" t="s">
        <v>134</v>
      </c>
      <c r="D361" s="84" t="s">
        <v>132</v>
      </c>
      <c r="E361" s="74">
        <v>0</v>
      </c>
      <c r="F361" s="74">
        <f>G361+H361+I361+J361+K361</f>
        <v>1001.9000000000001</v>
      </c>
      <c r="G361" s="74">
        <v>78</v>
      </c>
      <c r="H361" s="281">
        <v>105.8</v>
      </c>
      <c r="I361" s="74">
        <v>272.7</v>
      </c>
      <c r="J361" s="74">
        <v>272.7</v>
      </c>
      <c r="K361" s="74">
        <v>272.7</v>
      </c>
      <c r="L361" s="184" t="s">
        <v>254</v>
      </c>
      <c r="M361" s="255"/>
    </row>
    <row r="362" spans="1:13" ht="38.25" x14ac:dyDescent="0.25">
      <c r="A362" s="459"/>
      <c r="B362" s="427"/>
      <c r="C362" s="255" t="s">
        <v>134</v>
      </c>
      <c r="D362" s="84" t="s">
        <v>133</v>
      </c>
      <c r="E362" s="74">
        <v>0</v>
      </c>
      <c r="F362" s="74">
        <f>G362+H362+I362+J362+K362</f>
        <v>0</v>
      </c>
      <c r="G362" s="74">
        <v>0</v>
      </c>
      <c r="H362" s="74">
        <v>0</v>
      </c>
      <c r="I362" s="74">
        <v>0</v>
      </c>
      <c r="J362" s="74">
        <v>0</v>
      </c>
      <c r="K362" s="74">
        <v>0</v>
      </c>
      <c r="L362" s="184" t="s">
        <v>254</v>
      </c>
      <c r="M362" s="255"/>
    </row>
    <row r="363" spans="1:13" ht="38.25" x14ac:dyDescent="0.25">
      <c r="A363" s="460"/>
      <c r="B363" s="428"/>
      <c r="C363" s="255" t="s">
        <v>134</v>
      </c>
      <c r="D363" s="84" t="s">
        <v>51</v>
      </c>
      <c r="E363" s="74">
        <v>0</v>
      </c>
      <c r="F363" s="74">
        <f>G363+H363+I363+J363+K363</f>
        <v>0</v>
      </c>
      <c r="G363" s="74">
        <v>0</v>
      </c>
      <c r="H363" s="74">
        <v>0</v>
      </c>
      <c r="I363" s="74">
        <v>0</v>
      </c>
      <c r="J363" s="74">
        <v>0</v>
      </c>
      <c r="K363" s="74">
        <v>0</v>
      </c>
      <c r="L363" s="184" t="s">
        <v>254</v>
      </c>
      <c r="M363" s="255"/>
    </row>
    <row r="364" spans="1:13" ht="38.25" x14ac:dyDescent="0.25">
      <c r="A364" s="458" t="s">
        <v>279</v>
      </c>
      <c r="B364" s="426" t="s">
        <v>307</v>
      </c>
      <c r="C364" s="255"/>
      <c r="D364" s="178" t="s">
        <v>49</v>
      </c>
      <c r="E364" s="38">
        <f>E365+E366+E367</f>
        <v>0</v>
      </c>
      <c r="F364" s="38">
        <f t="shared" ref="F364:K364" si="115">F365+F366+F367</f>
        <v>1987.8</v>
      </c>
      <c r="G364" s="38">
        <f t="shared" si="115"/>
        <v>334.6</v>
      </c>
      <c r="H364" s="38">
        <f t="shared" si="115"/>
        <v>413.3</v>
      </c>
      <c r="I364" s="38">
        <f t="shared" si="115"/>
        <v>413.3</v>
      </c>
      <c r="J364" s="38">
        <f t="shared" si="115"/>
        <v>413.3</v>
      </c>
      <c r="K364" s="38">
        <f t="shared" si="115"/>
        <v>413.3</v>
      </c>
      <c r="L364" s="184" t="s">
        <v>254</v>
      </c>
      <c r="M364" s="184"/>
    </row>
    <row r="365" spans="1:13" ht="38.25" x14ac:dyDescent="0.25">
      <c r="A365" s="459"/>
      <c r="B365" s="427"/>
      <c r="C365" s="255" t="s">
        <v>134</v>
      </c>
      <c r="D365" s="84" t="s">
        <v>132</v>
      </c>
      <c r="E365" s="74">
        <v>0</v>
      </c>
      <c r="F365" s="74">
        <f>G365+H365+I365+J365+K365</f>
        <v>1987.8</v>
      </c>
      <c r="G365" s="74">
        <v>334.6</v>
      </c>
      <c r="H365" s="281">
        <v>413.3</v>
      </c>
      <c r="I365" s="74">
        <v>413.3</v>
      </c>
      <c r="J365" s="74">
        <v>413.3</v>
      </c>
      <c r="K365" s="74">
        <v>413.3</v>
      </c>
      <c r="L365" s="184" t="s">
        <v>254</v>
      </c>
      <c r="M365" s="184"/>
    </row>
    <row r="366" spans="1:13" ht="38.25" x14ac:dyDescent="0.25">
      <c r="A366" s="459"/>
      <c r="B366" s="427"/>
      <c r="C366" s="255" t="s">
        <v>134</v>
      </c>
      <c r="D366" s="84" t="s">
        <v>133</v>
      </c>
      <c r="E366" s="74">
        <v>0</v>
      </c>
      <c r="F366" s="74">
        <f>G366+H366+I366+J366+K366</f>
        <v>0</v>
      </c>
      <c r="G366" s="74">
        <v>0</v>
      </c>
      <c r="H366" s="74">
        <v>0</v>
      </c>
      <c r="I366" s="74">
        <v>0</v>
      </c>
      <c r="J366" s="74">
        <v>0</v>
      </c>
      <c r="K366" s="74">
        <v>0</v>
      </c>
      <c r="L366" s="184" t="s">
        <v>254</v>
      </c>
      <c r="M366" s="184"/>
    </row>
    <row r="367" spans="1:13" ht="38.25" x14ac:dyDescent="0.25">
      <c r="A367" s="460"/>
      <c r="B367" s="428"/>
      <c r="C367" s="255" t="s">
        <v>134</v>
      </c>
      <c r="D367" s="84" t="s">
        <v>51</v>
      </c>
      <c r="E367" s="74">
        <v>0</v>
      </c>
      <c r="F367" s="74">
        <f>G367+H367+I367+J367+K367</f>
        <v>0</v>
      </c>
      <c r="G367" s="74">
        <v>0</v>
      </c>
      <c r="H367" s="74">
        <v>0</v>
      </c>
      <c r="I367" s="74">
        <v>0</v>
      </c>
      <c r="J367" s="74">
        <v>0</v>
      </c>
      <c r="K367" s="74">
        <v>0</v>
      </c>
      <c r="L367" s="184" t="s">
        <v>254</v>
      </c>
      <c r="M367" s="184"/>
    </row>
    <row r="368" spans="1:13" ht="25.5" customHeight="1" x14ac:dyDescent="0.25">
      <c r="A368" s="458" t="s">
        <v>280</v>
      </c>
      <c r="B368" s="426" t="s">
        <v>394</v>
      </c>
      <c r="C368" s="255"/>
      <c r="D368" s="178" t="s">
        <v>49</v>
      </c>
      <c r="E368" s="38">
        <f>E369+E370+E371</f>
        <v>0</v>
      </c>
      <c r="F368" s="38">
        <f t="shared" ref="F368:K368" si="116">F369+F370+F371</f>
        <v>37</v>
      </c>
      <c r="G368" s="38">
        <f t="shared" si="116"/>
        <v>37</v>
      </c>
      <c r="H368" s="38">
        <f t="shared" si="116"/>
        <v>0</v>
      </c>
      <c r="I368" s="38">
        <f t="shared" si="116"/>
        <v>0</v>
      </c>
      <c r="J368" s="38">
        <f t="shared" si="116"/>
        <v>0</v>
      </c>
      <c r="K368" s="38">
        <f t="shared" si="116"/>
        <v>0</v>
      </c>
      <c r="L368" s="184" t="s">
        <v>254</v>
      </c>
      <c r="M368" s="39"/>
    </row>
    <row r="369" spans="1:13" ht="38.25" x14ac:dyDescent="0.25">
      <c r="A369" s="459"/>
      <c r="B369" s="427"/>
      <c r="C369" s="255" t="s">
        <v>134</v>
      </c>
      <c r="D369" s="84" t="s">
        <v>132</v>
      </c>
      <c r="E369" s="74">
        <v>0</v>
      </c>
      <c r="F369" s="74">
        <f>G369+H369+I369+J369+K369</f>
        <v>0</v>
      </c>
      <c r="G369" s="74">
        <v>0</v>
      </c>
      <c r="H369" s="74">
        <v>0</v>
      </c>
      <c r="I369" s="74">
        <v>0</v>
      </c>
      <c r="J369" s="74">
        <v>0</v>
      </c>
      <c r="K369" s="74">
        <v>0</v>
      </c>
      <c r="L369" s="184" t="s">
        <v>254</v>
      </c>
      <c r="M369" s="255"/>
    </row>
    <row r="370" spans="1:13" ht="38.25" x14ac:dyDescent="0.25">
      <c r="A370" s="459"/>
      <c r="B370" s="427"/>
      <c r="C370" s="255" t="s">
        <v>134</v>
      </c>
      <c r="D370" s="84" t="s">
        <v>133</v>
      </c>
      <c r="E370" s="74">
        <v>0</v>
      </c>
      <c r="F370" s="74">
        <f>G370+H370+I370+J370+K370</f>
        <v>37</v>
      </c>
      <c r="G370" s="74">
        <v>37</v>
      </c>
      <c r="H370" s="74">
        <v>0</v>
      </c>
      <c r="I370" s="74">
        <v>0</v>
      </c>
      <c r="J370" s="74">
        <v>0</v>
      </c>
      <c r="K370" s="74">
        <v>0</v>
      </c>
      <c r="L370" s="184" t="s">
        <v>254</v>
      </c>
      <c r="M370" s="255"/>
    </row>
    <row r="371" spans="1:13" ht="38.25" x14ac:dyDescent="0.25">
      <c r="A371" s="460"/>
      <c r="B371" s="428"/>
      <c r="C371" s="255" t="s">
        <v>134</v>
      </c>
      <c r="D371" s="84" t="s">
        <v>51</v>
      </c>
      <c r="E371" s="74">
        <v>0</v>
      </c>
      <c r="F371" s="74">
        <f>G371+H371+I371+J371+K371</f>
        <v>0</v>
      </c>
      <c r="G371" s="74">
        <v>0</v>
      </c>
      <c r="H371" s="74">
        <v>0</v>
      </c>
      <c r="I371" s="74">
        <v>0</v>
      </c>
      <c r="J371" s="74">
        <v>0</v>
      </c>
      <c r="K371" s="74">
        <v>0</v>
      </c>
      <c r="L371" s="184" t="s">
        <v>254</v>
      </c>
      <c r="M371" s="255"/>
    </row>
    <row r="372" spans="1:13" ht="25.5" customHeight="1" x14ac:dyDescent="0.25">
      <c r="A372" s="439" t="s">
        <v>66</v>
      </c>
      <c r="B372" s="429" t="s">
        <v>227</v>
      </c>
      <c r="C372" s="136"/>
      <c r="D372" s="137" t="s">
        <v>49</v>
      </c>
      <c r="E372" s="138">
        <f>E373+E374+E375</f>
        <v>0</v>
      </c>
      <c r="F372" s="138">
        <f t="shared" ref="F372:K372" si="117">F373+F374+F375</f>
        <v>2646.5</v>
      </c>
      <c r="G372" s="138">
        <f t="shared" si="117"/>
        <v>0</v>
      </c>
      <c r="H372" s="138">
        <f t="shared" si="117"/>
        <v>738.19999999999993</v>
      </c>
      <c r="I372" s="138">
        <f t="shared" si="117"/>
        <v>636.1</v>
      </c>
      <c r="J372" s="138">
        <f t="shared" si="117"/>
        <v>636.1</v>
      </c>
      <c r="K372" s="138">
        <f t="shared" si="117"/>
        <v>636.1</v>
      </c>
      <c r="L372" s="136"/>
      <c r="M372" s="136"/>
    </row>
    <row r="373" spans="1:13" ht="38.25" x14ac:dyDescent="0.25">
      <c r="A373" s="440"/>
      <c r="B373" s="430"/>
      <c r="C373" s="136" t="s">
        <v>134</v>
      </c>
      <c r="D373" s="140" t="s">
        <v>132</v>
      </c>
      <c r="E373" s="141">
        <f>E377+E381+E385+E389+E393+E397</f>
        <v>0</v>
      </c>
      <c r="F373" s="141">
        <f t="shared" ref="F373:K373" si="118">F377+F381+F385+F389+F393+F397+F401</f>
        <v>2646.5</v>
      </c>
      <c r="G373" s="141">
        <f t="shared" si="118"/>
        <v>0</v>
      </c>
      <c r="H373" s="141">
        <f t="shared" si="118"/>
        <v>738.19999999999993</v>
      </c>
      <c r="I373" s="141">
        <f t="shared" si="118"/>
        <v>636.1</v>
      </c>
      <c r="J373" s="141">
        <f t="shared" si="118"/>
        <v>636.1</v>
      </c>
      <c r="K373" s="141">
        <f t="shared" si="118"/>
        <v>636.1</v>
      </c>
      <c r="L373" s="136"/>
      <c r="M373" s="136"/>
    </row>
    <row r="374" spans="1:13" ht="38.25" x14ac:dyDescent="0.25">
      <c r="A374" s="440"/>
      <c r="B374" s="430"/>
      <c r="C374" s="136" t="s">
        <v>134</v>
      </c>
      <c r="D374" s="140" t="s">
        <v>133</v>
      </c>
      <c r="E374" s="141">
        <f>E378+E382+E386+E390+E394+E398</f>
        <v>0</v>
      </c>
      <c r="F374" s="141">
        <f t="shared" ref="F374:K374" si="119">F378+F382+F386+F390+F394+F398</f>
        <v>0</v>
      </c>
      <c r="G374" s="141">
        <f t="shared" si="119"/>
        <v>0</v>
      </c>
      <c r="H374" s="141">
        <f t="shared" si="119"/>
        <v>0</v>
      </c>
      <c r="I374" s="141">
        <f t="shared" si="119"/>
        <v>0</v>
      </c>
      <c r="J374" s="141">
        <f t="shared" si="119"/>
        <v>0</v>
      </c>
      <c r="K374" s="141">
        <f t="shared" si="119"/>
        <v>0</v>
      </c>
      <c r="L374" s="136"/>
      <c r="M374" s="136"/>
    </row>
    <row r="375" spans="1:13" ht="38.25" x14ac:dyDescent="0.25">
      <c r="A375" s="441"/>
      <c r="B375" s="431"/>
      <c r="C375" s="136" t="s">
        <v>134</v>
      </c>
      <c r="D375" s="140" t="s">
        <v>51</v>
      </c>
      <c r="E375" s="141">
        <f>E379+E383+E387+E391+E395+E399</f>
        <v>0</v>
      </c>
      <c r="F375" s="141">
        <f t="shared" ref="F375:K375" si="120">F379+F383+F387+F391+F395+F399</f>
        <v>0</v>
      </c>
      <c r="G375" s="141">
        <f t="shared" si="120"/>
        <v>0</v>
      </c>
      <c r="H375" s="141">
        <f t="shared" si="120"/>
        <v>0</v>
      </c>
      <c r="I375" s="141">
        <f t="shared" si="120"/>
        <v>0</v>
      </c>
      <c r="J375" s="141">
        <f t="shared" si="120"/>
        <v>0</v>
      </c>
      <c r="K375" s="141">
        <f t="shared" si="120"/>
        <v>0</v>
      </c>
      <c r="L375" s="136"/>
      <c r="M375" s="136"/>
    </row>
    <row r="376" spans="1:13" ht="38.25" x14ac:dyDescent="0.25">
      <c r="A376" s="458" t="s">
        <v>70</v>
      </c>
      <c r="B376" s="461" t="s">
        <v>275</v>
      </c>
      <c r="C376" s="189"/>
      <c r="D376" s="190" t="s">
        <v>49</v>
      </c>
      <c r="E376" s="38">
        <f>E377+E378+E379</f>
        <v>0</v>
      </c>
      <c r="F376" s="38">
        <f t="shared" ref="F376:K376" si="121">F377+F378+F379</f>
        <v>574.4</v>
      </c>
      <c r="G376" s="38">
        <f t="shared" si="121"/>
        <v>0</v>
      </c>
      <c r="H376" s="38">
        <f t="shared" si="121"/>
        <v>200</v>
      </c>
      <c r="I376" s="186">
        <f t="shared" si="121"/>
        <v>124.8</v>
      </c>
      <c r="J376" s="186">
        <f t="shared" si="121"/>
        <v>124.8</v>
      </c>
      <c r="K376" s="186">
        <f t="shared" si="121"/>
        <v>124.8</v>
      </c>
      <c r="L376" s="184" t="s">
        <v>254</v>
      </c>
      <c r="M376" s="184"/>
    </row>
    <row r="377" spans="1:13" ht="38.25" x14ac:dyDescent="0.25">
      <c r="A377" s="459"/>
      <c r="B377" s="462"/>
      <c r="C377" s="184" t="s">
        <v>134</v>
      </c>
      <c r="D377" s="184" t="s">
        <v>121</v>
      </c>
      <c r="E377" s="74">
        <v>0</v>
      </c>
      <c r="F377" s="74">
        <f>G377+H377+I377+J377+K377</f>
        <v>574.4</v>
      </c>
      <c r="G377" s="74">
        <v>0</v>
      </c>
      <c r="H377" s="281">
        <v>200</v>
      </c>
      <c r="I377" s="188">
        <v>124.8</v>
      </c>
      <c r="J377" s="188">
        <v>124.8</v>
      </c>
      <c r="K377" s="188">
        <v>124.8</v>
      </c>
      <c r="L377" s="184" t="s">
        <v>254</v>
      </c>
      <c r="M377" s="184"/>
    </row>
    <row r="378" spans="1:13" ht="38.25" x14ac:dyDescent="0.25">
      <c r="A378" s="459"/>
      <c r="B378" s="462"/>
      <c r="C378" s="184" t="s">
        <v>134</v>
      </c>
      <c r="D378" s="187" t="s">
        <v>133</v>
      </c>
      <c r="E378" s="74">
        <v>0</v>
      </c>
      <c r="F378" s="74">
        <f>G378+H378+I378+J378+K378</f>
        <v>0</v>
      </c>
      <c r="G378" s="74">
        <v>0</v>
      </c>
      <c r="H378" s="74">
        <v>0</v>
      </c>
      <c r="I378" s="188">
        <v>0</v>
      </c>
      <c r="J378" s="188">
        <v>0</v>
      </c>
      <c r="K378" s="188">
        <v>0</v>
      </c>
      <c r="L378" s="184" t="s">
        <v>254</v>
      </c>
      <c r="M378" s="184"/>
    </row>
    <row r="379" spans="1:13" ht="38.25" x14ac:dyDescent="0.25">
      <c r="A379" s="460"/>
      <c r="B379" s="463"/>
      <c r="C379" s="184" t="s">
        <v>134</v>
      </c>
      <c r="D379" s="187" t="s">
        <v>51</v>
      </c>
      <c r="E379" s="74">
        <v>0</v>
      </c>
      <c r="F379" s="74">
        <f>G379+H379+I379+J379+K379</f>
        <v>0</v>
      </c>
      <c r="G379" s="74">
        <v>0</v>
      </c>
      <c r="H379" s="74">
        <v>0</v>
      </c>
      <c r="I379" s="188">
        <v>0</v>
      </c>
      <c r="J379" s="188">
        <v>0</v>
      </c>
      <c r="K379" s="188">
        <v>0</v>
      </c>
      <c r="L379" s="184" t="s">
        <v>254</v>
      </c>
      <c r="M379" s="184"/>
    </row>
    <row r="380" spans="1:13" ht="25.5" customHeight="1" x14ac:dyDescent="0.25">
      <c r="A380" s="458" t="s">
        <v>216</v>
      </c>
      <c r="B380" s="461" t="s">
        <v>369</v>
      </c>
      <c r="C380" s="189"/>
      <c r="D380" s="190" t="s">
        <v>49</v>
      </c>
      <c r="E380" s="38">
        <f t="shared" ref="E380:K380" si="122">E381+E382+E383</f>
        <v>0</v>
      </c>
      <c r="F380" s="38">
        <f t="shared" si="122"/>
        <v>223.2</v>
      </c>
      <c r="G380" s="38">
        <f t="shared" si="122"/>
        <v>0</v>
      </c>
      <c r="H380" s="38">
        <f t="shared" si="122"/>
        <v>55.8</v>
      </c>
      <c r="I380" s="186">
        <f t="shared" si="122"/>
        <v>55.8</v>
      </c>
      <c r="J380" s="186">
        <f t="shared" si="122"/>
        <v>55.8</v>
      </c>
      <c r="K380" s="186">
        <f t="shared" si="122"/>
        <v>55.8</v>
      </c>
      <c r="L380" s="184" t="s">
        <v>254</v>
      </c>
      <c r="M380" s="184"/>
    </row>
    <row r="381" spans="1:13" ht="38.25" x14ac:dyDescent="0.25">
      <c r="A381" s="459"/>
      <c r="B381" s="462"/>
      <c r="C381" s="184" t="s">
        <v>134</v>
      </c>
      <c r="D381" s="184" t="s">
        <v>121</v>
      </c>
      <c r="E381" s="74">
        <v>0</v>
      </c>
      <c r="F381" s="74">
        <f>G381+H381+I381+J381+K381</f>
        <v>223.2</v>
      </c>
      <c r="G381" s="74">
        <v>0</v>
      </c>
      <c r="H381" s="281">
        <v>55.8</v>
      </c>
      <c r="I381" s="188">
        <v>55.8</v>
      </c>
      <c r="J381" s="188">
        <v>55.8</v>
      </c>
      <c r="K381" s="188">
        <v>55.8</v>
      </c>
      <c r="L381" s="184" t="s">
        <v>254</v>
      </c>
      <c r="M381" s="184"/>
    </row>
    <row r="382" spans="1:13" ht="38.25" x14ac:dyDescent="0.25">
      <c r="A382" s="459"/>
      <c r="B382" s="462"/>
      <c r="C382" s="184" t="s">
        <v>134</v>
      </c>
      <c r="D382" s="187" t="s">
        <v>133</v>
      </c>
      <c r="E382" s="74">
        <v>0</v>
      </c>
      <c r="F382" s="74">
        <f>G382+H382+I382+J382+K382</f>
        <v>0</v>
      </c>
      <c r="G382" s="74">
        <v>0</v>
      </c>
      <c r="H382" s="74">
        <v>0</v>
      </c>
      <c r="I382" s="188">
        <v>0</v>
      </c>
      <c r="J382" s="188">
        <v>0</v>
      </c>
      <c r="K382" s="188">
        <v>0</v>
      </c>
      <c r="L382" s="184" t="s">
        <v>254</v>
      </c>
      <c r="M382" s="184"/>
    </row>
    <row r="383" spans="1:13" ht="38.25" x14ac:dyDescent="0.25">
      <c r="A383" s="460"/>
      <c r="B383" s="463"/>
      <c r="C383" s="184" t="s">
        <v>134</v>
      </c>
      <c r="D383" s="187" t="s">
        <v>51</v>
      </c>
      <c r="E383" s="74">
        <v>0</v>
      </c>
      <c r="F383" s="74">
        <f>G383+H383+I383+J383+K383</f>
        <v>0</v>
      </c>
      <c r="G383" s="74">
        <v>0</v>
      </c>
      <c r="H383" s="74">
        <v>0</v>
      </c>
      <c r="I383" s="188">
        <v>0</v>
      </c>
      <c r="J383" s="188">
        <v>0</v>
      </c>
      <c r="K383" s="188">
        <v>0</v>
      </c>
      <c r="L383" s="184" t="s">
        <v>254</v>
      </c>
      <c r="M383" s="184"/>
    </row>
    <row r="384" spans="1:13" ht="38.25" x14ac:dyDescent="0.25">
      <c r="A384" s="458" t="s">
        <v>223</v>
      </c>
      <c r="B384" s="461" t="s">
        <v>269</v>
      </c>
      <c r="C384" s="189"/>
      <c r="D384" s="190" t="s">
        <v>49</v>
      </c>
      <c r="E384" s="38">
        <f t="shared" ref="E384:K384" si="123">E385+E386+E387</f>
        <v>0</v>
      </c>
      <c r="F384" s="38">
        <f t="shared" si="123"/>
        <v>418.5</v>
      </c>
      <c r="G384" s="38">
        <f t="shared" si="123"/>
        <v>0</v>
      </c>
      <c r="H384" s="38">
        <f t="shared" si="123"/>
        <v>0</v>
      </c>
      <c r="I384" s="38">
        <f t="shared" si="123"/>
        <v>139.5</v>
      </c>
      <c r="J384" s="38">
        <f t="shared" si="123"/>
        <v>139.5</v>
      </c>
      <c r="K384" s="186">
        <f t="shared" si="123"/>
        <v>139.5</v>
      </c>
      <c r="L384" s="184" t="s">
        <v>254</v>
      </c>
      <c r="M384" s="184"/>
    </row>
    <row r="385" spans="1:13" ht="38.25" x14ac:dyDescent="0.25">
      <c r="A385" s="459"/>
      <c r="B385" s="462"/>
      <c r="C385" s="184" t="s">
        <v>134</v>
      </c>
      <c r="D385" s="184" t="s">
        <v>121</v>
      </c>
      <c r="E385" s="74">
        <v>0</v>
      </c>
      <c r="F385" s="74">
        <f>G385+H385+I385+J385+K385</f>
        <v>418.5</v>
      </c>
      <c r="G385" s="74">
        <v>0</v>
      </c>
      <c r="H385" s="74">
        <f>140-140</f>
        <v>0</v>
      </c>
      <c r="I385" s="74">
        <v>139.5</v>
      </c>
      <c r="J385" s="74">
        <v>139.5</v>
      </c>
      <c r="K385" s="188">
        <v>139.5</v>
      </c>
      <c r="L385" s="184" t="s">
        <v>254</v>
      </c>
      <c r="M385" s="184"/>
    </row>
    <row r="386" spans="1:13" ht="38.25" x14ac:dyDescent="0.25">
      <c r="A386" s="459"/>
      <c r="B386" s="462"/>
      <c r="C386" s="184" t="s">
        <v>134</v>
      </c>
      <c r="D386" s="187" t="s">
        <v>133</v>
      </c>
      <c r="E386" s="74">
        <v>0</v>
      </c>
      <c r="F386" s="74">
        <f>G386+H386+I386+J386+K386</f>
        <v>0</v>
      </c>
      <c r="G386" s="74">
        <v>0</v>
      </c>
      <c r="H386" s="74">
        <v>0</v>
      </c>
      <c r="I386" s="188">
        <v>0</v>
      </c>
      <c r="J386" s="188">
        <v>0</v>
      </c>
      <c r="K386" s="188">
        <v>0</v>
      </c>
      <c r="L386" s="184" t="s">
        <v>254</v>
      </c>
      <c r="M386" s="184"/>
    </row>
    <row r="387" spans="1:13" ht="38.25" x14ac:dyDescent="0.25">
      <c r="A387" s="460"/>
      <c r="B387" s="463"/>
      <c r="C387" s="184" t="s">
        <v>134</v>
      </c>
      <c r="D387" s="187" t="s">
        <v>51</v>
      </c>
      <c r="E387" s="74">
        <v>0</v>
      </c>
      <c r="F387" s="74">
        <f>G387+H387+I387+J387+K387</f>
        <v>0</v>
      </c>
      <c r="G387" s="74">
        <v>0</v>
      </c>
      <c r="H387" s="74">
        <v>0</v>
      </c>
      <c r="I387" s="188">
        <v>0</v>
      </c>
      <c r="J387" s="188">
        <v>0</v>
      </c>
      <c r="K387" s="188">
        <v>0</v>
      </c>
      <c r="L387" s="184" t="s">
        <v>254</v>
      </c>
      <c r="M387" s="184"/>
    </row>
    <row r="388" spans="1:13" ht="39.6" customHeight="1" x14ac:dyDescent="0.25">
      <c r="A388" s="483" t="s">
        <v>224</v>
      </c>
      <c r="B388" s="482" t="s">
        <v>340</v>
      </c>
      <c r="C388" s="189"/>
      <c r="D388" s="190" t="s">
        <v>49</v>
      </c>
      <c r="E388" s="38">
        <f>E389+E390+E391</f>
        <v>0</v>
      </c>
      <c r="F388" s="38">
        <f t="shared" ref="F388:K388" si="124">F389+F390+F391</f>
        <v>100</v>
      </c>
      <c r="G388" s="38">
        <f t="shared" si="124"/>
        <v>0</v>
      </c>
      <c r="H388" s="38">
        <f t="shared" si="124"/>
        <v>100</v>
      </c>
      <c r="I388" s="186">
        <f t="shared" si="124"/>
        <v>0</v>
      </c>
      <c r="J388" s="186">
        <f t="shared" si="124"/>
        <v>0</v>
      </c>
      <c r="K388" s="186">
        <f t="shared" si="124"/>
        <v>0</v>
      </c>
      <c r="L388" s="184" t="s">
        <v>254</v>
      </c>
      <c r="M388" s="184"/>
    </row>
    <row r="389" spans="1:13" ht="38.25" x14ac:dyDescent="0.25">
      <c r="A389" s="483"/>
      <c r="B389" s="482"/>
      <c r="C389" s="184" t="s">
        <v>134</v>
      </c>
      <c r="D389" s="184" t="s">
        <v>121</v>
      </c>
      <c r="E389" s="74">
        <v>0</v>
      </c>
      <c r="F389" s="74">
        <f>G389+H389+I389+J389+K389</f>
        <v>100</v>
      </c>
      <c r="G389" s="74">
        <v>0</v>
      </c>
      <c r="H389" s="281">
        <v>100</v>
      </c>
      <c r="I389" s="188">
        <v>0</v>
      </c>
      <c r="J389" s="188">
        <v>0</v>
      </c>
      <c r="K389" s="188">
        <v>0</v>
      </c>
      <c r="L389" s="184" t="s">
        <v>254</v>
      </c>
      <c r="M389" s="184"/>
    </row>
    <row r="390" spans="1:13" ht="38.25" x14ac:dyDescent="0.25">
      <c r="A390" s="483"/>
      <c r="B390" s="482"/>
      <c r="C390" s="184" t="s">
        <v>134</v>
      </c>
      <c r="D390" s="187" t="s">
        <v>133</v>
      </c>
      <c r="E390" s="74">
        <v>0</v>
      </c>
      <c r="F390" s="74">
        <f>G390+H390+I390+J390+K390</f>
        <v>0</v>
      </c>
      <c r="G390" s="74">
        <v>0</v>
      </c>
      <c r="H390" s="74">
        <v>0</v>
      </c>
      <c r="I390" s="188">
        <v>0</v>
      </c>
      <c r="J390" s="188">
        <v>0</v>
      </c>
      <c r="K390" s="188">
        <v>0</v>
      </c>
      <c r="L390" s="184" t="s">
        <v>254</v>
      </c>
      <c r="M390" s="184"/>
    </row>
    <row r="391" spans="1:13" ht="38.25" x14ac:dyDescent="0.25">
      <c r="A391" s="483"/>
      <c r="B391" s="482"/>
      <c r="C391" s="184" t="s">
        <v>134</v>
      </c>
      <c r="D391" s="187" t="s">
        <v>51</v>
      </c>
      <c r="E391" s="74">
        <v>0</v>
      </c>
      <c r="F391" s="74">
        <f>G391+H391+I391+J391+K391</f>
        <v>0</v>
      </c>
      <c r="G391" s="74">
        <v>0</v>
      </c>
      <c r="H391" s="74">
        <v>0</v>
      </c>
      <c r="I391" s="188">
        <v>0</v>
      </c>
      <c r="J391" s="188">
        <v>0</v>
      </c>
      <c r="K391" s="188">
        <v>0</v>
      </c>
      <c r="L391" s="184" t="s">
        <v>254</v>
      </c>
      <c r="M391" s="184"/>
    </row>
    <row r="392" spans="1:13" ht="25.5" customHeight="1" x14ac:dyDescent="0.25">
      <c r="A392" s="458" t="s">
        <v>225</v>
      </c>
      <c r="B392" s="461" t="s">
        <v>350</v>
      </c>
      <c r="C392" s="184"/>
      <c r="D392" s="185" t="s">
        <v>49</v>
      </c>
      <c r="E392" s="38">
        <f>E393+E394+E395</f>
        <v>0</v>
      </c>
      <c r="F392" s="38">
        <f t="shared" ref="F392:K392" si="125">F393+F394+F395</f>
        <v>1048</v>
      </c>
      <c r="G392" s="38">
        <f t="shared" si="125"/>
        <v>0</v>
      </c>
      <c r="H392" s="38">
        <f t="shared" si="125"/>
        <v>250</v>
      </c>
      <c r="I392" s="186">
        <f t="shared" si="125"/>
        <v>266</v>
      </c>
      <c r="J392" s="186">
        <f t="shared" si="125"/>
        <v>266</v>
      </c>
      <c r="K392" s="186">
        <f t="shared" si="125"/>
        <v>266</v>
      </c>
      <c r="L392" s="184" t="s">
        <v>254</v>
      </c>
      <c r="M392" s="184"/>
    </row>
    <row r="393" spans="1:13" ht="38.25" x14ac:dyDescent="0.25">
      <c r="A393" s="459"/>
      <c r="B393" s="462"/>
      <c r="C393" s="184" t="s">
        <v>134</v>
      </c>
      <c r="D393" s="187" t="s">
        <v>132</v>
      </c>
      <c r="E393" s="74">
        <v>0</v>
      </c>
      <c r="F393" s="74">
        <f>G393+H393+I393+J393+K393</f>
        <v>1048</v>
      </c>
      <c r="G393" s="74">
        <v>0</v>
      </c>
      <c r="H393" s="281">
        <v>250</v>
      </c>
      <c r="I393" s="188">
        <v>266</v>
      </c>
      <c r="J393" s="188">
        <v>266</v>
      </c>
      <c r="K393" s="188">
        <v>266</v>
      </c>
      <c r="L393" s="184" t="s">
        <v>254</v>
      </c>
      <c r="M393" s="184"/>
    </row>
    <row r="394" spans="1:13" ht="38.25" x14ac:dyDescent="0.25">
      <c r="A394" s="459"/>
      <c r="B394" s="462"/>
      <c r="C394" s="184" t="s">
        <v>134</v>
      </c>
      <c r="D394" s="187" t="s">
        <v>133</v>
      </c>
      <c r="E394" s="74">
        <v>0</v>
      </c>
      <c r="F394" s="74">
        <f>G394+H394+I394+J394+K394</f>
        <v>0</v>
      </c>
      <c r="G394" s="74">
        <v>0</v>
      </c>
      <c r="H394" s="74">
        <v>0</v>
      </c>
      <c r="I394" s="188">
        <v>0</v>
      </c>
      <c r="J394" s="188">
        <v>0</v>
      </c>
      <c r="K394" s="188">
        <v>0</v>
      </c>
      <c r="L394" s="184" t="s">
        <v>254</v>
      </c>
      <c r="M394" s="184"/>
    </row>
    <row r="395" spans="1:13" ht="38.25" x14ac:dyDescent="0.25">
      <c r="A395" s="460"/>
      <c r="B395" s="463"/>
      <c r="C395" s="184" t="s">
        <v>134</v>
      </c>
      <c r="D395" s="187" t="s">
        <v>51</v>
      </c>
      <c r="E395" s="74">
        <v>0</v>
      </c>
      <c r="F395" s="74">
        <f>G395+H395+I395+J395+K395</f>
        <v>0</v>
      </c>
      <c r="G395" s="74">
        <v>0</v>
      </c>
      <c r="H395" s="74">
        <v>0</v>
      </c>
      <c r="I395" s="188">
        <v>0</v>
      </c>
      <c r="J395" s="188">
        <v>0</v>
      </c>
      <c r="K395" s="188">
        <v>0</v>
      </c>
      <c r="L395" s="184" t="s">
        <v>254</v>
      </c>
      <c r="M395" s="184"/>
    </row>
    <row r="396" spans="1:13" ht="39" customHeight="1" x14ac:dyDescent="0.25">
      <c r="A396" s="421" t="s">
        <v>226</v>
      </c>
      <c r="B396" s="426" t="s">
        <v>431</v>
      </c>
      <c r="C396" s="255"/>
      <c r="D396" s="178" t="s">
        <v>49</v>
      </c>
      <c r="E396" s="38">
        <f>E397+E398+E399</f>
        <v>0</v>
      </c>
      <c r="F396" s="38">
        <f t="shared" ref="F396:K396" si="126">F397+F398+F399</f>
        <v>200</v>
      </c>
      <c r="G396" s="38">
        <f t="shared" si="126"/>
        <v>0</v>
      </c>
      <c r="H396" s="38">
        <f t="shared" si="126"/>
        <v>50</v>
      </c>
      <c r="I396" s="38">
        <f t="shared" si="126"/>
        <v>50</v>
      </c>
      <c r="J396" s="38">
        <f t="shared" si="126"/>
        <v>50</v>
      </c>
      <c r="K396" s="38">
        <f t="shared" si="126"/>
        <v>50</v>
      </c>
      <c r="L396" s="184" t="s">
        <v>254</v>
      </c>
      <c r="M396" s="39"/>
    </row>
    <row r="397" spans="1:13" ht="38.25" x14ac:dyDescent="0.25">
      <c r="A397" s="422"/>
      <c r="B397" s="427"/>
      <c r="C397" s="255" t="s">
        <v>134</v>
      </c>
      <c r="D397" s="84" t="s">
        <v>132</v>
      </c>
      <c r="E397" s="74">
        <v>0</v>
      </c>
      <c r="F397" s="74">
        <f>G397+H397+I397+J397+K397</f>
        <v>200</v>
      </c>
      <c r="G397" s="74">
        <v>0</v>
      </c>
      <c r="H397" s="281">
        <v>50</v>
      </c>
      <c r="I397" s="74">
        <v>50</v>
      </c>
      <c r="J397" s="74">
        <v>50</v>
      </c>
      <c r="K397" s="74">
        <v>50</v>
      </c>
      <c r="L397" s="184" t="s">
        <v>254</v>
      </c>
      <c r="M397" s="255"/>
    </row>
    <row r="398" spans="1:13" ht="38.25" x14ac:dyDescent="0.25">
      <c r="A398" s="422"/>
      <c r="B398" s="427"/>
      <c r="C398" s="255" t="s">
        <v>134</v>
      </c>
      <c r="D398" s="84" t="s">
        <v>133</v>
      </c>
      <c r="E398" s="74">
        <v>0</v>
      </c>
      <c r="F398" s="74">
        <f>G398+H398+I398+J398+K398</f>
        <v>0</v>
      </c>
      <c r="G398" s="74">
        <v>0</v>
      </c>
      <c r="H398" s="74">
        <v>0</v>
      </c>
      <c r="I398" s="74">
        <v>0</v>
      </c>
      <c r="J398" s="74">
        <v>0</v>
      </c>
      <c r="K398" s="74">
        <v>0</v>
      </c>
      <c r="L398" s="184" t="s">
        <v>254</v>
      </c>
      <c r="M398" s="255"/>
    </row>
    <row r="399" spans="1:13" ht="38.25" x14ac:dyDescent="0.25">
      <c r="A399" s="423"/>
      <c r="B399" s="428"/>
      <c r="C399" s="255" t="s">
        <v>134</v>
      </c>
      <c r="D399" s="84" t="s">
        <v>51</v>
      </c>
      <c r="E399" s="74">
        <v>0</v>
      </c>
      <c r="F399" s="74">
        <f>G399+H399+I399+J399+K399</f>
        <v>0</v>
      </c>
      <c r="G399" s="74">
        <v>0</v>
      </c>
      <c r="H399" s="74">
        <v>0</v>
      </c>
      <c r="I399" s="74">
        <v>0</v>
      </c>
      <c r="J399" s="74">
        <v>0</v>
      </c>
      <c r="K399" s="74">
        <v>0</v>
      </c>
      <c r="L399" s="184" t="s">
        <v>254</v>
      </c>
      <c r="M399" s="255"/>
    </row>
    <row r="400" spans="1:13" ht="38.25" x14ac:dyDescent="0.25">
      <c r="A400" s="421" t="s">
        <v>398</v>
      </c>
      <c r="B400" s="426" t="s">
        <v>568</v>
      </c>
      <c r="C400" s="284"/>
      <c r="D400" s="178" t="s">
        <v>49</v>
      </c>
      <c r="E400" s="38">
        <f>E401+E402+E403</f>
        <v>0</v>
      </c>
      <c r="F400" s="38">
        <f t="shared" ref="F400:K400" si="127">F401+F402+F403</f>
        <v>82.4</v>
      </c>
      <c r="G400" s="38">
        <f t="shared" si="127"/>
        <v>0</v>
      </c>
      <c r="H400" s="38">
        <f t="shared" si="127"/>
        <v>82.4</v>
      </c>
      <c r="I400" s="38">
        <f t="shared" si="127"/>
        <v>0</v>
      </c>
      <c r="J400" s="38">
        <f t="shared" si="127"/>
        <v>0</v>
      </c>
      <c r="K400" s="38">
        <f t="shared" si="127"/>
        <v>0</v>
      </c>
      <c r="L400" s="284" t="s">
        <v>254</v>
      </c>
      <c r="M400" s="39"/>
    </row>
    <row r="401" spans="1:14" ht="38.25" x14ac:dyDescent="0.25">
      <c r="A401" s="422"/>
      <c r="B401" s="427"/>
      <c r="C401" s="284" t="s">
        <v>134</v>
      </c>
      <c r="D401" s="279" t="s">
        <v>132</v>
      </c>
      <c r="E401" s="74">
        <v>0</v>
      </c>
      <c r="F401" s="74">
        <f>G401+H401+I401+J401+K401</f>
        <v>82.4</v>
      </c>
      <c r="G401" s="74">
        <v>0</v>
      </c>
      <c r="H401" s="281">
        <v>82.4</v>
      </c>
      <c r="I401" s="74">
        <v>0</v>
      </c>
      <c r="J401" s="74">
        <v>0</v>
      </c>
      <c r="K401" s="74">
        <v>0</v>
      </c>
      <c r="L401" s="284" t="s">
        <v>254</v>
      </c>
      <c r="M401" s="284"/>
    </row>
    <row r="402" spans="1:14" ht="38.25" x14ac:dyDescent="0.25">
      <c r="A402" s="422"/>
      <c r="B402" s="427"/>
      <c r="C402" s="284" t="s">
        <v>134</v>
      </c>
      <c r="D402" s="279" t="s">
        <v>133</v>
      </c>
      <c r="E402" s="74">
        <v>0</v>
      </c>
      <c r="F402" s="74">
        <f>G402+H402+I402+J402+K402</f>
        <v>0</v>
      </c>
      <c r="G402" s="74">
        <v>0</v>
      </c>
      <c r="H402" s="74">
        <v>0</v>
      </c>
      <c r="I402" s="74">
        <v>0</v>
      </c>
      <c r="J402" s="74">
        <v>0</v>
      </c>
      <c r="K402" s="74">
        <v>0</v>
      </c>
      <c r="L402" s="284" t="s">
        <v>254</v>
      </c>
      <c r="M402" s="284"/>
    </row>
    <row r="403" spans="1:14" ht="38.25" x14ac:dyDescent="0.25">
      <c r="A403" s="423"/>
      <c r="B403" s="428"/>
      <c r="C403" s="284" t="s">
        <v>134</v>
      </c>
      <c r="D403" s="279" t="s">
        <v>51</v>
      </c>
      <c r="E403" s="74">
        <v>0</v>
      </c>
      <c r="F403" s="74">
        <f>G403+H403+I403+J403+K403</f>
        <v>0</v>
      </c>
      <c r="G403" s="74">
        <v>0</v>
      </c>
      <c r="H403" s="74">
        <v>0</v>
      </c>
      <c r="I403" s="74">
        <v>0</v>
      </c>
      <c r="J403" s="74">
        <v>0</v>
      </c>
      <c r="K403" s="74">
        <v>0</v>
      </c>
      <c r="L403" s="284" t="s">
        <v>254</v>
      </c>
      <c r="M403" s="284"/>
    </row>
    <row r="404" spans="1:14" ht="31.5" customHeight="1" x14ac:dyDescent="0.25">
      <c r="A404" s="474" t="s">
        <v>52</v>
      </c>
      <c r="B404" s="475"/>
      <c r="C404" s="80"/>
      <c r="D404" s="87" t="s">
        <v>49</v>
      </c>
      <c r="E404" s="75">
        <f>E405+E406+E407</f>
        <v>0</v>
      </c>
      <c r="F404" s="75">
        <f t="shared" ref="F404:K404" si="128">F405+F406+F407</f>
        <v>31338.6</v>
      </c>
      <c r="G404" s="75">
        <f>G405+G406+G407</f>
        <v>5330.2000000000007</v>
      </c>
      <c r="H404" s="75">
        <f t="shared" si="128"/>
        <v>6663.3</v>
      </c>
      <c r="I404" s="75">
        <f t="shared" si="128"/>
        <v>6854.3</v>
      </c>
      <c r="J404" s="75">
        <f t="shared" si="128"/>
        <v>6861.7000000000007</v>
      </c>
      <c r="K404" s="75">
        <f t="shared" si="128"/>
        <v>5629.1</v>
      </c>
      <c r="L404" s="32"/>
      <c r="M404" s="32"/>
    </row>
    <row r="405" spans="1:14" ht="38.25" x14ac:dyDescent="0.25">
      <c r="A405" s="476"/>
      <c r="B405" s="477"/>
      <c r="C405" s="80"/>
      <c r="D405" s="87" t="s">
        <v>132</v>
      </c>
      <c r="E405" s="75">
        <v>0</v>
      </c>
      <c r="F405" s="75">
        <f t="shared" ref="F405:K407" si="129">F333</f>
        <v>30766</v>
      </c>
      <c r="G405" s="75">
        <f t="shared" si="129"/>
        <v>4757.6000000000004</v>
      </c>
      <c r="H405" s="75">
        <f t="shared" si="129"/>
        <v>6663.3</v>
      </c>
      <c r="I405" s="75">
        <f t="shared" si="129"/>
        <v>6854.3</v>
      </c>
      <c r="J405" s="75">
        <f t="shared" si="129"/>
        <v>6861.7000000000007</v>
      </c>
      <c r="K405" s="75">
        <f t="shared" si="129"/>
        <v>5629.1</v>
      </c>
      <c r="L405" s="80"/>
      <c r="M405" s="80"/>
      <c r="N405" s="17"/>
    </row>
    <row r="406" spans="1:14" ht="38.25" x14ac:dyDescent="0.25">
      <c r="A406" s="476"/>
      <c r="B406" s="477"/>
      <c r="C406" s="80"/>
      <c r="D406" s="88" t="s">
        <v>133</v>
      </c>
      <c r="E406" s="43">
        <f>E334+E342</f>
        <v>0</v>
      </c>
      <c r="F406" s="43">
        <f t="shared" si="129"/>
        <v>572.6</v>
      </c>
      <c r="G406" s="43">
        <f t="shared" si="129"/>
        <v>572.6</v>
      </c>
      <c r="H406" s="43">
        <f t="shared" si="129"/>
        <v>0</v>
      </c>
      <c r="I406" s="43">
        <f t="shared" si="129"/>
        <v>0</v>
      </c>
      <c r="J406" s="43">
        <f t="shared" si="129"/>
        <v>0</v>
      </c>
      <c r="K406" s="43">
        <f t="shared" si="129"/>
        <v>0</v>
      </c>
      <c r="L406" s="71"/>
      <c r="M406" s="71"/>
    </row>
    <row r="407" spans="1:14" ht="38.25" x14ac:dyDescent="0.25">
      <c r="A407" s="478"/>
      <c r="B407" s="479"/>
      <c r="C407" s="80"/>
      <c r="D407" s="89" t="s">
        <v>51</v>
      </c>
      <c r="E407" s="46">
        <f>E335+E343</f>
        <v>0</v>
      </c>
      <c r="F407" s="46">
        <f t="shared" si="129"/>
        <v>0</v>
      </c>
      <c r="G407" s="46">
        <f t="shared" si="129"/>
        <v>0</v>
      </c>
      <c r="H407" s="46">
        <f t="shared" si="129"/>
        <v>0</v>
      </c>
      <c r="I407" s="46">
        <f t="shared" si="129"/>
        <v>0</v>
      </c>
      <c r="J407" s="46">
        <f t="shared" si="129"/>
        <v>0</v>
      </c>
      <c r="K407" s="46">
        <f t="shared" si="129"/>
        <v>0</v>
      </c>
      <c r="L407" s="40"/>
      <c r="M407" s="40"/>
    </row>
    <row r="408" spans="1:14" ht="42" customHeight="1" x14ac:dyDescent="0.25">
      <c r="A408" s="96"/>
      <c r="B408" s="480" t="s">
        <v>116</v>
      </c>
      <c r="C408" s="480"/>
      <c r="D408" s="480"/>
      <c r="E408" s="480"/>
      <c r="F408" s="480"/>
      <c r="G408" s="480"/>
      <c r="H408" s="480"/>
      <c r="I408" s="480"/>
      <c r="J408" s="480"/>
      <c r="K408" s="480"/>
      <c r="L408" s="480"/>
      <c r="M408" s="481"/>
    </row>
    <row r="409" spans="1:14" ht="37.9" customHeight="1" x14ac:dyDescent="0.25">
      <c r="A409" s="442" t="s">
        <v>214</v>
      </c>
      <c r="B409" s="436" t="s">
        <v>149</v>
      </c>
      <c r="C409" s="72"/>
      <c r="D409" s="32" t="s">
        <v>49</v>
      </c>
      <c r="E409" s="75">
        <f>E410+E411+E412</f>
        <v>0</v>
      </c>
      <c r="F409" s="75">
        <f t="shared" ref="F409:K409" si="130">F410+F411</f>
        <v>7852.3</v>
      </c>
      <c r="G409" s="75">
        <f t="shared" si="130"/>
        <v>1202.5</v>
      </c>
      <c r="H409" s="75">
        <f t="shared" si="130"/>
        <v>6649.8</v>
      </c>
      <c r="I409" s="75">
        <f t="shared" si="130"/>
        <v>0</v>
      </c>
      <c r="J409" s="75">
        <f t="shared" si="130"/>
        <v>0</v>
      </c>
      <c r="K409" s="75">
        <f t="shared" si="130"/>
        <v>0</v>
      </c>
      <c r="L409" s="80"/>
      <c r="M409" s="80"/>
    </row>
    <row r="410" spans="1:14" ht="39" customHeight="1" x14ac:dyDescent="0.25">
      <c r="A410" s="443"/>
      <c r="B410" s="437"/>
      <c r="C410" s="80"/>
      <c r="D410" s="83" t="s">
        <v>132</v>
      </c>
      <c r="E410" s="35">
        <f t="shared" ref="E410:K412" si="131">E414</f>
        <v>0</v>
      </c>
      <c r="F410" s="35">
        <f t="shared" ref="F410:K410" si="132">F414+F418</f>
        <v>7852.3</v>
      </c>
      <c r="G410" s="35">
        <f t="shared" si="132"/>
        <v>1202.5</v>
      </c>
      <c r="H410" s="35">
        <f t="shared" si="132"/>
        <v>6649.8</v>
      </c>
      <c r="I410" s="35">
        <f t="shared" si="132"/>
        <v>0</v>
      </c>
      <c r="J410" s="35">
        <f t="shared" si="132"/>
        <v>0</v>
      </c>
      <c r="K410" s="35">
        <f t="shared" si="132"/>
        <v>0</v>
      </c>
      <c r="L410" s="80"/>
      <c r="M410" s="80"/>
    </row>
    <row r="411" spans="1:14" ht="39" customHeight="1" x14ac:dyDescent="0.25">
      <c r="A411" s="443"/>
      <c r="B411" s="437"/>
      <c r="C411" s="80"/>
      <c r="D411" s="90" t="s">
        <v>133</v>
      </c>
      <c r="E411" s="91">
        <f t="shared" si="131"/>
        <v>0</v>
      </c>
      <c r="F411" s="91">
        <f t="shared" si="131"/>
        <v>0</v>
      </c>
      <c r="G411" s="91">
        <f t="shared" si="131"/>
        <v>0</v>
      </c>
      <c r="H411" s="91">
        <f t="shared" si="131"/>
        <v>0</v>
      </c>
      <c r="I411" s="91">
        <f t="shared" si="131"/>
        <v>0</v>
      </c>
      <c r="J411" s="91">
        <f t="shared" si="131"/>
        <v>0</v>
      </c>
      <c r="K411" s="91">
        <f t="shared" si="131"/>
        <v>0</v>
      </c>
      <c r="L411" s="71"/>
      <c r="M411" s="71"/>
    </row>
    <row r="412" spans="1:14" ht="40.5" customHeight="1" x14ac:dyDescent="0.25">
      <c r="A412" s="444"/>
      <c r="B412" s="438"/>
      <c r="C412" s="80"/>
      <c r="D412" s="86" t="s">
        <v>51</v>
      </c>
      <c r="E412" s="41">
        <f t="shared" si="131"/>
        <v>0</v>
      </c>
      <c r="F412" s="41">
        <f t="shared" si="131"/>
        <v>0</v>
      </c>
      <c r="G412" s="41">
        <f t="shared" si="131"/>
        <v>0</v>
      </c>
      <c r="H412" s="41">
        <f t="shared" si="131"/>
        <v>0</v>
      </c>
      <c r="I412" s="41">
        <f t="shared" si="131"/>
        <v>0</v>
      </c>
      <c r="J412" s="41">
        <f t="shared" si="131"/>
        <v>0</v>
      </c>
      <c r="K412" s="41">
        <f t="shared" si="131"/>
        <v>0</v>
      </c>
      <c r="L412" s="40"/>
      <c r="M412" s="40"/>
    </row>
    <row r="413" spans="1:14" ht="25.5" x14ac:dyDescent="0.25">
      <c r="A413" s="455" t="s">
        <v>71</v>
      </c>
      <c r="B413" s="494" t="s">
        <v>340</v>
      </c>
      <c r="C413" s="77"/>
      <c r="D413" s="85" t="s">
        <v>49</v>
      </c>
      <c r="E413" s="27">
        <f t="shared" ref="E413:K413" si="133">E414+E415+E416</f>
        <v>0</v>
      </c>
      <c r="F413" s="38">
        <f t="shared" si="133"/>
        <v>6671.6</v>
      </c>
      <c r="G413" s="38">
        <f t="shared" si="133"/>
        <v>1202.5</v>
      </c>
      <c r="H413" s="27">
        <f t="shared" si="133"/>
        <v>5469.1</v>
      </c>
      <c r="I413" s="27">
        <f t="shared" si="133"/>
        <v>0</v>
      </c>
      <c r="J413" s="27">
        <f t="shared" si="133"/>
        <v>0</v>
      </c>
      <c r="K413" s="27">
        <f t="shared" si="133"/>
        <v>0</v>
      </c>
      <c r="L413" s="39" t="s">
        <v>50</v>
      </c>
      <c r="M413" s="39"/>
    </row>
    <row r="414" spans="1:14" ht="38.25" x14ac:dyDescent="0.25">
      <c r="A414" s="456"/>
      <c r="B414" s="495"/>
      <c r="C414" s="77" t="s">
        <v>134</v>
      </c>
      <c r="D414" s="76" t="s">
        <v>132</v>
      </c>
      <c r="E414" s="81">
        <v>0</v>
      </c>
      <c r="F414" s="74">
        <f>G414+H414+I414+J414+K414</f>
        <v>6671.6</v>
      </c>
      <c r="G414" s="74">
        <f>1000+202.5</f>
        <v>1202.5</v>
      </c>
      <c r="H414" s="281">
        <v>5469.1</v>
      </c>
      <c r="I414" s="74">
        <v>0</v>
      </c>
      <c r="J414" s="81">
        <v>0</v>
      </c>
      <c r="K414" s="81">
        <v>0</v>
      </c>
      <c r="L414" s="82" t="s">
        <v>50</v>
      </c>
      <c r="M414" s="374" t="s">
        <v>622</v>
      </c>
    </row>
    <row r="415" spans="1:14" ht="72" customHeight="1" x14ac:dyDescent="0.25">
      <c r="A415" s="456"/>
      <c r="B415" s="495"/>
      <c r="C415" s="77" t="s">
        <v>134</v>
      </c>
      <c r="D415" s="76" t="s">
        <v>133</v>
      </c>
      <c r="E415" s="81">
        <v>0</v>
      </c>
      <c r="F415" s="81">
        <f>G415+H415+I415+J415+K415</f>
        <v>0</v>
      </c>
      <c r="G415" s="81">
        <v>0</v>
      </c>
      <c r="H415" s="81">
        <v>0</v>
      </c>
      <c r="I415" s="81">
        <v>0</v>
      </c>
      <c r="J415" s="81">
        <v>0</v>
      </c>
      <c r="K415" s="81">
        <v>0</v>
      </c>
      <c r="L415" s="82" t="s">
        <v>50</v>
      </c>
      <c r="M415" s="376"/>
    </row>
    <row r="416" spans="1:14" ht="38.25" x14ac:dyDescent="0.25">
      <c r="A416" s="457"/>
      <c r="B416" s="496"/>
      <c r="C416" s="255" t="s">
        <v>134</v>
      </c>
      <c r="D416" s="84" t="s">
        <v>51</v>
      </c>
      <c r="E416" s="81">
        <v>0</v>
      </c>
      <c r="F416" s="81">
        <f>G416+H416+I416+J416+K416</f>
        <v>0</v>
      </c>
      <c r="G416" s="74">
        <v>0</v>
      </c>
      <c r="H416" s="74">
        <v>0</v>
      </c>
      <c r="I416" s="74">
        <v>0</v>
      </c>
      <c r="J416" s="74">
        <v>0</v>
      </c>
      <c r="K416" s="74">
        <v>0</v>
      </c>
      <c r="L416" s="255" t="s">
        <v>50</v>
      </c>
      <c r="M416" s="255"/>
    </row>
    <row r="417" spans="1:13" ht="25.5" x14ac:dyDescent="0.25">
      <c r="A417" s="421" t="s">
        <v>66</v>
      </c>
      <c r="B417" s="497" t="s">
        <v>575</v>
      </c>
      <c r="C417" s="284"/>
      <c r="D417" s="178" t="s">
        <v>49</v>
      </c>
      <c r="E417" s="38">
        <f t="shared" ref="E417:K417" si="134">E418+E419+E420</f>
        <v>0</v>
      </c>
      <c r="F417" s="38">
        <f t="shared" si="134"/>
        <v>1180.7</v>
      </c>
      <c r="G417" s="38">
        <f t="shared" si="134"/>
        <v>0</v>
      </c>
      <c r="H417" s="276">
        <f t="shared" si="134"/>
        <v>1180.7</v>
      </c>
      <c r="I417" s="38">
        <f t="shared" si="134"/>
        <v>0</v>
      </c>
      <c r="J417" s="38">
        <f t="shared" si="134"/>
        <v>0</v>
      </c>
      <c r="K417" s="38">
        <f t="shared" si="134"/>
        <v>0</v>
      </c>
      <c r="L417" s="39" t="s">
        <v>50</v>
      </c>
      <c r="M417" s="39"/>
    </row>
    <row r="418" spans="1:13" ht="38.25" x14ac:dyDescent="0.25">
      <c r="A418" s="422"/>
      <c r="B418" s="498"/>
      <c r="C418" s="284" t="s">
        <v>134</v>
      </c>
      <c r="D418" s="279" t="s">
        <v>132</v>
      </c>
      <c r="E418" s="74">
        <v>0</v>
      </c>
      <c r="F418" s="74">
        <f>G418+H418+I418+J418+K418</f>
        <v>1180.7</v>
      </c>
      <c r="G418" s="74">
        <v>0</v>
      </c>
      <c r="H418" s="281">
        <v>1180.7</v>
      </c>
      <c r="I418" s="74">
        <v>0</v>
      </c>
      <c r="J418" s="74">
        <v>0</v>
      </c>
      <c r="K418" s="74">
        <v>0</v>
      </c>
      <c r="L418" s="284" t="s">
        <v>50</v>
      </c>
      <c r="M418" s="284" t="s">
        <v>623</v>
      </c>
    </row>
    <row r="419" spans="1:13" ht="38.25" x14ac:dyDescent="0.25">
      <c r="A419" s="422"/>
      <c r="B419" s="498"/>
      <c r="C419" s="284" t="s">
        <v>134</v>
      </c>
      <c r="D419" s="279" t="s">
        <v>133</v>
      </c>
      <c r="E419" s="74">
        <v>0</v>
      </c>
      <c r="F419" s="74">
        <f>G419+H419+I419+J419+K419</f>
        <v>0</v>
      </c>
      <c r="G419" s="74">
        <v>0</v>
      </c>
      <c r="H419" s="74">
        <v>0</v>
      </c>
      <c r="I419" s="74">
        <v>0</v>
      </c>
      <c r="J419" s="74">
        <v>0</v>
      </c>
      <c r="K419" s="74">
        <v>0</v>
      </c>
      <c r="L419" s="284" t="s">
        <v>50</v>
      </c>
      <c r="M419" s="284"/>
    </row>
    <row r="420" spans="1:13" ht="38.25" x14ac:dyDescent="0.25">
      <c r="A420" s="423"/>
      <c r="B420" s="499"/>
      <c r="C420" s="284" t="s">
        <v>134</v>
      </c>
      <c r="D420" s="279" t="s">
        <v>51</v>
      </c>
      <c r="E420" s="74">
        <v>0</v>
      </c>
      <c r="F420" s="74">
        <f>G420+H420+I420+J420+K420</f>
        <v>0</v>
      </c>
      <c r="G420" s="74">
        <v>0</v>
      </c>
      <c r="H420" s="74">
        <v>0</v>
      </c>
      <c r="I420" s="74">
        <v>0</v>
      </c>
      <c r="J420" s="74">
        <v>0</v>
      </c>
      <c r="K420" s="74">
        <v>0</v>
      </c>
      <c r="L420" s="284" t="s">
        <v>50</v>
      </c>
      <c r="M420" s="284"/>
    </row>
    <row r="421" spans="1:13" ht="39" customHeight="1" x14ac:dyDescent="0.25">
      <c r="A421" s="442" t="s">
        <v>212</v>
      </c>
      <c r="B421" s="436" t="s">
        <v>258</v>
      </c>
      <c r="C421" s="72"/>
      <c r="D421" s="32" t="s">
        <v>49</v>
      </c>
      <c r="E421" s="75">
        <f>E422+E423+E424</f>
        <v>0</v>
      </c>
      <c r="F421" s="75">
        <f t="shared" ref="F421:K421" si="135">F422+F423</f>
        <v>10339</v>
      </c>
      <c r="G421" s="75">
        <f t="shared" si="135"/>
        <v>7122</v>
      </c>
      <c r="H421" s="75">
        <f t="shared" si="135"/>
        <v>3217</v>
      </c>
      <c r="I421" s="75">
        <f t="shared" si="135"/>
        <v>0</v>
      </c>
      <c r="J421" s="75">
        <f t="shared" si="135"/>
        <v>0</v>
      </c>
      <c r="K421" s="75">
        <f t="shared" si="135"/>
        <v>0</v>
      </c>
      <c r="L421" s="80" t="s">
        <v>254</v>
      </c>
      <c r="M421" s="80"/>
    </row>
    <row r="422" spans="1:13" ht="38.25" x14ac:dyDescent="0.25">
      <c r="A422" s="443"/>
      <c r="B422" s="437"/>
      <c r="C422" s="80"/>
      <c r="D422" s="83" t="s">
        <v>132</v>
      </c>
      <c r="E422" s="35">
        <v>0</v>
      </c>
      <c r="F422" s="35">
        <f>F426+F430+F434+F438</f>
        <v>5874</v>
      </c>
      <c r="G422" s="35">
        <f>G426+G430+G434+G438</f>
        <v>2657</v>
      </c>
      <c r="H422" s="35">
        <f t="shared" ref="H422:K422" si="136">H426+H430+H434+H438</f>
        <v>3217</v>
      </c>
      <c r="I422" s="35">
        <f t="shared" si="136"/>
        <v>0</v>
      </c>
      <c r="J422" s="35">
        <f t="shared" si="136"/>
        <v>0</v>
      </c>
      <c r="K422" s="35">
        <f t="shared" si="136"/>
        <v>0</v>
      </c>
      <c r="L422" s="80" t="s">
        <v>254</v>
      </c>
      <c r="M422" s="80"/>
    </row>
    <row r="423" spans="1:13" ht="38.25" x14ac:dyDescent="0.25">
      <c r="A423" s="443"/>
      <c r="B423" s="437"/>
      <c r="C423" s="80"/>
      <c r="D423" s="90" t="s">
        <v>133</v>
      </c>
      <c r="E423" s="91">
        <v>0</v>
      </c>
      <c r="F423" s="91">
        <f>F427+F431+F435+F439</f>
        <v>4465</v>
      </c>
      <c r="G423" s="91">
        <f t="shared" ref="G423:K423" si="137">G427+G431+G435+G439</f>
        <v>4465</v>
      </c>
      <c r="H423" s="91">
        <f t="shared" si="137"/>
        <v>0</v>
      </c>
      <c r="I423" s="91">
        <f t="shared" si="137"/>
        <v>0</v>
      </c>
      <c r="J423" s="91">
        <f t="shared" si="137"/>
        <v>0</v>
      </c>
      <c r="K423" s="91">
        <f t="shared" si="137"/>
        <v>0</v>
      </c>
      <c r="L423" s="71" t="s">
        <v>254</v>
      </c>
      <c r="M423" s="71"/>
    </row>
    <row r="424" spans="1:13" ht="38.25" x14ac:dyDescent="0.25">
      <c r="A424" s="444"/>
      <c r="B424" s="438"/>
      <c r="C424" s="80"/>
      <c r="D424" s="86" t="s">
        <v>51</v>
      </c>
      <c r="E424" s="41">
        <f>E428</f>
        <v>0</v>
      </c>
      <c r="F424" s="41">
        <f>F428+F432+F436+F440</f>
        <v>0</v>
      </c>
      <c r="G424" s="41">
        <f t="shared" ref="G424:K424" si="138">G428+G432+G436+G440</f>
        <v>0</v>
      </c>
      <c r="H424" s="41">
        <f t="shared" si="138"/>
        <v>0</v>
      </c>
      <c r="I424" s="41">
        <f t="shared" si="138"/>
        <v>0</v>
      </c>
      <c r="J424" s="41">
        <f t="shared" si="138"/>
        <v>0</v>
      </c>
      <c r="K424" s="41">
        <f t="shared" si="138"/>
        <v>0</v>
      </c>
      <c r="L424" s="40" t="s">
        <v>254</v>
      </c>
      <c r="M424" s="40"/>
    </row>
    <row r="425" spans="1:13" ht="38.25" x14ac:dyDescent="0.25">
      <c r="A425" s="455" t="s">
        <v>67</v>
      </c>
      <c r="B425" s="426" t="s">
        <v>552</v>
      </c>
      <c r="C425" s="268"/>
      <c r="D425" s="178" t="s">
        <v>49</v>
      </c>
      <c r="E425" s="38">
        <f>E426+E427+E428</f>
        <v>0</v>
      </c>
      <c r="F425" s="38">
        <f t="shared" ref="F425:K425" si="139">F426+F427+F428</f>
        <v>5465</v>
      </c>
      <c r="G425" s="38">
        <f t="shared" si="139"/>
        <v>5465</v>
      </c>
      <c r="H425" s="38">
        <f t="shared" si="139"/>
        <v>0</v>
      </c>
      <c r="I425" s="38">
        <f t="shared" si="139"/>
        <v>0</v>
      </c>
      <c r="J425" s="38">
        <f t="shared" si="139"/>
        <v>0</v>
      </c>
      <c r="K425" s="27">
        <f t="shared" si="139"/>
        <v>0</v>
      </c>
      <c r="L425" s="39" t="s">
        <v>254</v>
      </c>
      <c r="M425" s="39"/>
    </row>
    <row r="426" spans="1:13" ht="38.25" x14ac:dyDescent="0.25">
      <c r="A426" s="456"/>
      <c r="B426" s="427"/>
      <c r="C426" s="268" t="s">
        <v>134</v>
      </c>
      <c r="D426" s="84" t="s">
        <v>132</v>
      </c>
      <c r="E426" s="74">
        <v>0</v>
      </c>
      <c r="F426" s="74">
        <f>G426+H426+I426+J426+K426</f>
        <v>1000</v>
      </c>
      <c r="G426" s="74">
        <v>1000</v>
      </c>
      <c r="H426" s="74">
        <v>0</v>
      </c>
      <c r="I426" s="74">
        <v>0</v>
      </c>
      <c r="J426" s="74">
        <v>0</v>
      </c>
      <c r="K426" s="81">
        <v>0</v>
      </c>
      <c r="L426" s="167" t="s">
        <v>254</v>
      </c>
      <c r="M426" s="167"/>
    </row>
    <row r="427" spans="1:13" ht="38.25" x14ac:dyDescent="0.25">
      <c r="A427" s="456"/>
      <c r="B427" s="427"/>
      <c r="C427" s="268" t="s">
        <v>134</v>
      </c>
      <c r="D427" s="84" t="s">
        <v>133</v>
      </c>
      <c r="E427" s="74">
        <v>0</v>
      </c>
      <c r="F427" s="74">
        <f>G427+H427+I427+J427+K427</f>
        <v>4465</v>
      </c>
      <c r="G427" s="74">
        <v>4465</v>
      </c>
      <c r="H427" s="74">
        <v>0</v>
      </c>
      <c r="I427" s="74">
        <v>0</v>
      </c>
      <c r="J427" s="74">
        <v>0</v>
      </c>
      <c r="K427" s="81">
        <v>0</v>
      </c>
      <c r="L427" s="167" t="s">
        <v>254</v>
      </c>
      <c r="M427" s="167"/>
    </row>
    <row r="428" spans="1:13" ht="38.25" x14ac:dyDescent="0.25">
      <c r="A428" s="457"/>
      <c r="B428" s="428"/>
      <c r="C428" s="268" t="s">
        <v>134</v>
      </c>
      <c r="D428" s="84" t="s">
        <v>51</v>
      </c>
      <c r="E428" s="74">
        <v>0</v>
      </c>
      <c r="F428" s="74">
        <f>G428+H428+I428+J428+K428</f>
        <v>0</v>
      </c>
      <c r="G428" s="74">
        <f>I428</f>
        <v>0</v>
      </c>
      <c r="H428" s="74">
        <v>0</v>
      </c>
      <c r="I428" s="74">
        <f>K428</f>
        <v>0</v>
      </c>
      <c r="J428" s="74">
        <v>0</v>
      </c>
      <c r="K428" s="81">
        <f>M428</f>
        <v>0</v>
      </c>
      <c r="L428" s="167" t="s">
        <v>254</v>
      </c>
      <c r="M428" s="167"/>
    </row>
    <row r="429" spans="1:13" ht="51" customHeight="1" x14ac:dyDescent="0.25">
      <c r="A429" s="421" t="s">
        <v>68</v>
      </c>
      <c r="B429" s="426" t="s">
        <v>325</v>
      </c>
      <c r="C429" s="176"/>
      <c r="D429" s="178" t="s">
        <v>49</v>
      </c>
      <c r="E429" s="38">
        <f>E430+E431+E432</f>
        <v>0</v>
      </c>
      <c r="F429" s="38">
        <f t="shared" ref="F429:K429" si="140">F430+F431+F432</f>
        <v>4053.3</v>
      </c>
      <c r="G429" s="38">
        <f t="shared" si="140"/>
        <v>1557</v>
      </c>
      <c r="H429" s="38">
        <f t="shared" si="140"/>
        <v>2496.3000000000002</v>
      </c>
      <c r="I429" s="38">
        <f t="shared" si="140"/>
        <v>0</v>
      </c>
      <c r="J429" s="38">
        <f t="shared" si="140"/>
        <v>0</v>
      </c>
      <c r="K429" s="38">
        <f t="shared" si="140"/>
        <v>0</v>
      </c>
      <c r="L429" s="39" t="s">
        <v>254</v>
      </c>
      <c r="M429" s="39"/>
    </row>
    <row r="430" spans="1:13" ht="38.25" x14ac:dyDescent="0.25">
      <c r="A430" s="422"/>
      <c r="B430" s="427"/>
      <c r="C430" s="176" t="s">
        <v>134</v>
      </c>
      <c r="D430" s="84" t="s">
        <v>132</v>
      </c>
      <c r="E430" s="74">
        <v>0</v>
      </c>
      <c r="F430" s="74">
        <f>G430+H430+I430+J430+K430</f>
        <v>4053.3</v>
      </c>
      <c r="G430" s="74">
        <v>1557</v>
      </c>
      <c r="H430" s="281">
        <v>2496.3000000000002</v>
      </c>
      <c r="I430" s="74">
        <v>0</v>
      </c>
      <c r="J430" s="74">
        <v>0</v>
      </c>
      <c r="K430" s="74">
        <v>0</v>
      </c>
      <c r="L430" s="176" t="s">
        <v>254</v>
      </c>
      <c r="M430" s="176"/>
    </row>
    <row r="431" spans="1:13" ht="38.25" x14ac:dyDescent="0.25">
      <c r="A431" s="422"/>
      <c r="B431" s="427"/>
      <c r="C431" s="176" t="s">
        <v>134</v>
      </c>
      <c r="D431" s="84" t="s">
        <v>133</v>
      </c>
      <c r="E431" s="74">
        <v>0</v>
      </c>
      <c r="F431" s="74">
        <f>G431+H431+I431+J431+K431</f>
        <v>0</v>
      </c>
      <c r="G431" s="74">
        <v>0</v>
      </c>
      <c r="H431" s="74">
        <v>0</v>
      </c>
      <c r="I431" s="74">
        <v>0</v>
      </c>
      <c r="J431" s="74">
        <v>0</v>
      </c>
      <c r="K431" s="74">
        <v>0</v>
      </c>
      <c r="L431" s="176" t="s">
        <v>254</v>
      </c>
      <c r="M431" s="176"/>
    </row>
    <row r="432" spans="1:13" ht="38.25" x14ac:dyDescent="0.25">
      <c r="A432" s="423"/>
      <c r="B432" s="428"/>
      <c r="C432" s="176" t="s">
        <v>134</v>
      </c>
      <c r="D432" s="84" t="s">
        <v>51</v>
      </c>
      <c r="E432" s="74">
        <v>0</v>
      </c>
      <c r="F432" s="74">
        <f>G432+H432+I432+J432+K432</f>
        <v>0</v>
      </c>
      <c r="G432" s="74">
        <f>I432</f>
        <v>0</v>
      </c>
      <c r="H432" s="74">
        <v>0</v>
      </c>
      <c r="I432" s="74">
        <f>K432</f>
        <v>0</v>
      </c>
      <c r="J432" s="74">
        <v>0</v>
      </c>
      <c r="K432" s="74">
        <f>M432</f>
        <v>0</v>
      </c>
      <c r="L432" s="176" t="s">
        <v>254</v>
      </c>
      <c r="M432" s="176"/>
    </row>
    <row r="433" spans="1:13" ht="38.25" x14ac:dyDescent="0.25">
      <c r="A433" s="421" t="s">
        <v>69</v>
      </c>
      <c r="B433" s="426" t="s">
        <v>324</v>
      </c>
      <c r="C433" s="176"/>
      <c r="D433" s="178" t="s">
        <v>49</v>
      </c>
      <c r="E433" s="38">
        <f>E434+E435+E436</f>
        <v>0</v>
      </c>
      <c r="F433" s="38">
        <f t="shared" ref="F433:K433" si="141">F434+F435+F436</f>
        <v>100</v>
      </c>
      <c r="G433" s="38">
        <f t="shared" si="141"/>
        <v>100</v>
      </c>
      <c r="H433" s="38">
        <f t="shared" si="141"/>
        <v>0</v>
      </c>
      <c r="I433" s="38">
        <f t="shared" si="141"/>
        <v>0</v>
      </c>
      <c r="J433" s="38">
        <f t="shared" si="141"/>
        <v>0</v>
      </c>
      <c r="K433" s="38">
        <f t="shared" si="141"/>
        <v>0</v>
      </c>
      <c r="L433" s="39" t="s">
        <v>254</v>
      </c>
      <c r="M433" s="39"/>
    </row>
    <row r="434" spans="1:13" ht="38.25" x14ac:dyDescent="0.25">
      <c r="A434" s="422"/>
      <c r="B434" s="427"/>
      <c r="C434" s="176" t="s">
        <v>134</v>
      </c>
      <c r="D434" s="84" t="s">
        <v>132</v>
      </c>
      <c r="E434" s="74">
        <v>0</v>
      </c>
      <c r="F434" s="74">
        <f>G434+H434+I434+J434+K434</f>
        <v>100</v>
      </c>
      <c r="G434" s="74">
        <v>100</v>
      </c>
      <c r="H434" s="74">
        <v>0</v>
      </c>
      <c r="I434" s="74">
        <v>0</v>
      </c>
      <c r="J434" s="74">
        <v>0</v>
      </c>
      <c r="K434" s="74">
        <v>0</v>
      </c>
      <c r="L434" s="176" t="s">
        <v>254</v>
      </c>
      <c r="M434" s="176"/>
    </row>
    <row r="435" spans="1:13" ht="38.25" x14ac:dyDescent="0.25">
      <c r="A435" s="422"/>
      <c r="B435" s="427"/>
      <c r="C435" s="176" t="s">
        <v>134</v>
      </c>
      <c r="D435" s="84" t="s">
        <v>133</v>
      </c>
      <c r="E435" s="74">
        <v>0</v>
      </c>
      <c r="F435" s="74">
        <f>G435+H435+I435+J435+K435</f>
        <v>0</v>
      </c>
      <c r="G435" s="74">
        <v>0</v>
      </c>
      <c r="H435" s="74">
        <v>0</v>
      </c>
      <c r="I435" s="74">
        <v>0</v>
      </c>
      <c r="J435" s="74">
        <v>0</v>
      </c>
      <c r="K435" s="74">
        <v>0</v>
      </c>
      <c r="L435" s="176" t="s">
        <v>254</v>
      </c>
      <c r="M435" s="176"/>
    </row>
    <row r="436" spans="1:13" ht="38.25" x14ac:dyDescent="0.25">
      <c r="A436" s="423"/>
      <c r="B436" s="428"/>
      <c r="C436" s="176" t="s">
        <v>134</v>
      </c>
      <c r="D436" s="84" t="s">
        <v>51</v>
      </c>
      <c r="E436" s="74">
        <v>0</v>
      </c>
      <c r="F436" s="74">
        <f>G436+H436+I436+J436+K436</f>
        <v>0</v>
      </c>
      <c r="G436" s="74">
        <f>I436</f>
        <v>0</v>
      </c>
      <c r="H436" s="74">
        <v>0</v>
      </c>
      <c r="I436" s="74">
        <f>K436</f>
        <v>0</v>
      </c>
      <c r="J436" s="74">
        <v>0</v>
      </c>
      <c r="K436" s="74">
        <f>M436</f>
        <v>0</v>
      </c>
      <c r="L436" s="176" t="s">
        <v>254</v>
      </c>
      <c r="M436" s="176"/>
    </row>
    <row r="437" spans="1:13" ht="38.25" customHeight="1" x14ac:dyDescent="0.25">
      <c r="A437" s="421" t="s">
        <v>218</v>
      </c>
      <c r="B437" s="426" t="s">
        <v>429</v>
      </c>
      <c r="C437" s="268"/>
      <c r="D437" s="178" t="s">
        <v>49</v>
      </c>
      <c r="E437" s="38">
        <f>E438+E439+E440</f>
        <v>0</v>
      </c>
      <c r="F437" s="38">
        <f t="shared" ref="F437:K437" si="142">F438+F439+F440</f>
        <v>720.7</v>
      </c>
      <c r="G437" s="38">
        <f t="shared" si="142"/>
        <v>0</v>
      </c>
      <c r="H437" s="38">
        <f t="shared" si="142"/>
        <v>720.7</v>
      </c>
      <c r="I437" s="38">
        <f t="shared" si="142"/>
        <v>0</v>
      </c>
      <c r="J437" s="38">
        <f t="shared" si="142"/>
        <v>0</v>
      </c>
      <c r="K437" s="38">
        <f t="shared" si="142"/>
        <v>0</v>
      </c>
      <c r="L437" s="39" t="s">
        <v>254</v>
      </c>
      <c r="M437" s="39"/>
    </row>
    <row r="438" spans="1:13" ht="38.25" x14ac:dyDescent="0.25">
      <c r="A438" s="422"/>
      <c r="B438" s="427"/>
      <c r="C438" s="268" t="s">
        <v>134</v>
      </c>
      <c r="D438" s="84" t="s">
        <v>132</v>
      </c>
      <c r="E438" s="74">
        <v>0</v>
      </c>
      <c r="F438" s="74">
        <f>G438+H438+I438+J438+K438</f>
        <v>720.7</v>
      </c>
      <c r="G438" s="74">
        <v>0</v>
      </c>
      <c r="H438" s="281">
        <v>720.7</v>
      </c>
      <c r="I438" s="74">
        <v>0</v>
      </c>
      <c r="J438" s="74">
        <v>0</v>
      </c>
      <c r="K438" s="74">
        <v>0</v>
      </c>
      <c r="L438" s="229" t="s">
        <v>254</v>
      </c>
      <c r="M438" s="229"/>
    </row>
    <row r="439" spans="1:13" ht="38.25" x14ac:dyDescent="0.25">
      <c r="A439" s="422"/>
      <c r="B439" s="427"/>
      <c r="C439" s="268" t="s">
        <v>134</v>
      </c>
      <c r="D439" s="84" t="s">
        <v>133</v>
      </c>
      <c r="E439" s="74">
        <v>0</v>
      </c>
      <c r="F439" s="74">
        <f>G439+H439+I439+J439+K439</f>
        <v>0</v>
      </c>
      <c r="G439" s="74">
        <v>0</v>
      </c>
      <c r="H439" s="74">
        <v>0</v>
      </c>
      <c r="I439" s="74">
        <v>0</v>
      </c>
      <c r="J439" s="74">
        <v>0</v>
      </c>
      <c r="K439" s="74">
        <v>0</v>
      </c>
      <c r="L439" s="229" t="s">
        <v>254</v>
      </c>
      <c r="M439" s="229"/>
    </row>
    <row r="440" spans="1:13" ht="38.25" x14ac:dyDescent="0.25">
      <c r="A440" s="423"/>
      <c r="B440" s="428"/>
      <c r="C440" s="268" t="s">
        <v>134</v>
      </c>
      <c r="D440" s="84" t="s">
        <v>51</v>
      </c>
      <c r="E440" s="74">
        <v>0</v>
      </c>
      <c r="F440" s="74">
        <f>G440+H440+I440+J440+K440</f>
        <v>0</v>
      </c>
      <c r="G440" s="74">
        <f>I440</f>
        <v>0</v>
      </c>
      <c r="H440" s="74">
        <v>0</v>
      </c>
      <c r="I440" s="74">
        <f>K440</f>
        <v>0</v>
      </c>
      <c r="J440" s="74">
        <v>0</v>
      </c>
      <c r="K440" s="74">
        <f>M440</f>
        <v>0</v>
      </c>
      <c r="L440" s="229" t="s">
        <v>254</v>
      </c>
      <c r="M440" s="229"/>
    </row>
    <row r="441" spans="1:13" ht="38.25" x14ac:dyDescent="0.25">
      <c r="A441" s="442" t="s">
        <v>259</v>
      </c>
      <c r="B441" s="436" t="s">
        <v>260</v>
      </c>
      <c r="C441" s="72"/>
      <c r="D441" s="32" t="s">
        <v>49</v>
      </c>
      <c r="E441" s="75">
        <f>E442+E443+E444</f>
        <v>0</v>
      </c>
      <c r="F441" s="75">
        <f t="shared" ref="F441:K441" si="143">F442+F443</f>
        <v>25603.599999999999</v>
      </c>
      <c r="G441" s="75">
        <f t="shared" si="143"/>
        <v>25603.599999999999</v>
      </c>
      <c r="H441" s="75">
        <f t="shared" si="143"/>
        <v>0</v>
      </c>
      <c r="I441" s="75">
        <f t="shared" si="143"/>
        <v>0</v>
      </c>
      <c r="J441" s="75">
        <f t="shared" si="143"/>
        <v>0</v>
      </c>
      <c r="K441" s="75">
        <f t="shared" si="143"/>
        <v>0</v>
      </c>
      <c r="L441" s="32" t="s">
        <v>254</v>
      </c>
      <c r="M441" s="80"/>
    </row>
    <row r="442" spans="1:13" ht="38.25" x14ac:dyDescent="0.25">
      <c r="A442" s="443"/>
      <c r="B442" s="437"/>
      <c r="C442" s="80"/>
      <c r="D442" s="83" t="s">
        <v>132</v>
      </c>
      <c r="E442" s="35">
        <v>0</v>
      </c>
      <c r="F442" s="35">
        <f t="shared" ref="F442:K442" si="144">F446</f>
        <v>6354.4</v>
      </c>
      <c r="G442" s="35">
        <f t="shared" si="144"/>
        <v>6354.4</v>
      </c>
      <c r="H442" s="35">
        <f t="shared" si="144"/>
        <v>0</v>
      </c>
      <c r="I442" s="35">
        <f t="shared" si="144"/>
        <v>0</v>
      </c>
      <c r="J442" s="35">
        <f t="shared" si="144"/>
        <v>0</v>
      </c>
      <c r="K442" s="35">
        <f t="shared" si="144"/>
        <v>0</v>
      </c>
      <c r="L442" s="80" t="s">
        <v>254</v>
      </c>
      <c r="M442" s="80"/>
    </row>
    <row r="443" spans="1:13" ht="38.25" x14ac:dyDescent="0.25">
      <c r="A443" s="443"/>
      <c r="B443" s="437"/>
      <c r="C443" s="80"/>
      <c r="D443" s="90" t="s">
        <v>133</v>
      </c>
      <c r="E443" s="91">
        <v>0</v>
      </c>
      <c r="F443" s="91">
        <f t="shared" ref="F443:K444" si="145">F447</f>
        <v>19249.2</v>
      </c>
      <c r="G443" s="91">
        <f t="shared" si="145"/>
        <v>19249.2</v>
      </c>
      <c r="H443" s="91">
        <f t="shared" si="145"/>
        <v>0</v>
      </c>
      <c r="I443" s="91">
        <f t="shared" si="145"/>
        <v>0</v>
      </c>
      <c r="J443" s="91">
        <f t="shared" si="145"/>
        <v>0</v>
      </c>
      <c r="K443" s="91">
        <f t="shared" si="145"/>
        <v>0</v>
      </c>
      <c r="L443" s="71" t="s">
        <v>254</v>
      </c>
      <c r="M443" s="71"/>
    </row>
    <row r="444" spans="1:13" ht="38.25" x14ac:dyDescent="0.25">
      <c r="A444" s="444"/>
      <c r="B444" s="438"/>
      <c r="C444" s="80"/>
      <c r="D444" s="86" t="s">
        <v>51</v>
      </c>
      <c r="E444" s="41">
        <f>E448</f>
        <v>0</v>
      </c>
      <c r="F444" s="41">
        <f t="shared" si="145"/>
        <v>0</v>
      </c>
      <c r="G444" s="41">
        <f t="shared" si="145"/>
        <v>0</v>
      </c>
      <c r="H444" s="41">
        <f t="shared" si="145"/>
        <v>0</v>
      </c>
      <c r="I444" s="41">
        <f t="shared" si="145"/>
        <v>0</v>
      </c>
      <c r="J444" s="41">
        <f t="shared" si="145"/>
        <v>0</v>
      </c>
      <c r="K444" s="41">
        <f t="shared" si="145"/>
        <v>0</v>
      </c>
      <c r="L444" s="40" t="s">
        <v>254</v>
      </c>
      <c r="M444" s="40"/>
    </row>
    <row r="445" spans="1:13" ht="52.9" customHeight="1" x14ac:dyDescent="0.25">
      <c r="A445" s="455" t="s">
        <v>220</v>
      </c>
      <c r="B445" s="348" t="s">
        <v>169</v>
      </c>
      <c r="C445" s="166"/>
      <c r="D445" s="85" t="s">
        <v>49</v>
      </c>
      <c r="E445" s="27">
        <f>E446+E447+E448</f>
        <v>0</v>
      </c>
      <c r="F445" s="38">
        <f t="shared" ref="F445:K445" si="146">F446+F447+F448</f>
        <v>25603.599999999999</v>
      </c>
      <c r="G445" s="38">
        <f t="shared" si="146"/>
        <v>25603.599999999999</v>
      </c>
      <c r="H445" s="38">
        <f t="shared" si="146"/>
        <v>0</v>
      </c>
      <c r="I445" s="27">
        <f t="shared" si="146"/>
        <v>0</v>
      </c>
      <c r="J445" s="27">
        <f t="shared" si="146"/>
        <v>0</v>
      </c>
      <c r="K445" s="27">
        <f t="shared" si="146"/>
        <v>0</v>
      </c>
      <c r="L445" s="39" t="s">
        <v>254</v>
      </c>
      <c r="M445" s="39"/>
    </row>
    <row r="446" spans="1:13" ht="38.25" x14ac:dyDescent="0.25">
      <c r="A446" s="456"/>
      <c r="B446" s="349"/>
      <c r="C446" s="166" t="s">
        <v>134</v>
      </c>
      <c r="D446" s="102" t="s">
        <v>132</v>
      </c>
      <c r="E446" s="81">
        <v>0</v>
      </c>
      <c r="F446" s="74">
        <f>G446+H446+I446+J446+K446</f>
        <v>6354.4</v>
      </c>
      <c r="G446" s="74">
        <v>6354.4</v>
      </c>
      <c r="H446" s="74">
        <v>0</v>
      </c>
      <c r="I446" s="81">
        <v>0</v>
      </c>
      <c r="J446" s="81">
        <v>0</v>
      </c>
      <c r="K446" s="81">
        <v>0</v>
      </c>
      <c r="L446" s="167" t="s">
        <v>254</v>
      </c>
      <c r="M446" s="167"/>
    </row>
    <row r="447" spans="1:13" ht="38.25" x14ac:dyDescent="0.25">
      <c r="A447" s="456"/>
      <c r="B447" s="349"/>
      <c r="C447" s="166" t="s">
        <v>134</v>
      </c>
      <c r="D447" s="102" t="s">
        <v>133</v>
      </c>
      <c r="E447" s="81">
        <v>0</v>
      </c>
      <c r="F447" s="74">
        <f>G447+H447+I447+J447+K447</f>
        <v>19249.2</v>
      </c>
      <c r="G447" s="74">
        <v>19249.2</v>
      </c>
      <c r="H447" s="74">
        <v>0</v>
      </c>
      <c r="I447" s="81">
        <v>0</v>
      </c>
      <c r="J447" s="81">
        <v>0</v>
      </c>
      <c r="K447" s="81">
        <v>0</v>
      </c>
      <c r="L447" s="167" t="s">
        <v>254</v>
      </c>
      <c r="M447" s="167"/>
    </row>
    <row r="448" spans="1:13" ht="38.25" x14ac:dyDescent="0.25">
      <c r="A448" s="457"/>
      <c r="B448" s="350"/>
      <c r="C448" s="167" t="s">
        <v>134</v>
      </c>
      <c r="D448" s="84" t="s">
        <v>51</v>
      </c>
      <c r="E448" s="81">
        <v>0</v>
      </c>
      <c r="F448" s="74">
        <f>G448+H448+I448+J448+K448</f>
        <v>0</v>
      </c>
      <c r="G448" s="74">
        <f>I448</f>
        <v>0</v>
      </c>
      <c r="H448" s="74">
        <v>0</v>
      </c>
      <c r="I448" s="81">
        <f>K448</f>
        <v>0</v>
      </c>
      <c r="J448" s="81">
        <v>0</v>
      </c>
      <c r="K448" s="81">
        <f>M448</f>
        <v>0</v>
      </c>
      <c r="L448" s="167" t="s">
        <v>254</v>
      </c>
      <c r="M448" s="167"/>
    </row>
    <row r="449" spans="1:13" ht="38.25" x14ac:dyDescent="0.25">
      <c r="A449" s="442" t="s">
        <v>625</v>
      </c>
      <c r="B449" s="436" t="s">
        <v>567</v>
      </c>
      <c r="C449" s="72"/>
      <c r="D449" s="32" t="s">
        <v>49</v>
      </c>
      <c r="E449" s="75">
        <f>E450+E451+E452</f>
        <v>0</v>
      </c>
      <c r="F449" s="75">
        <f t="shared" ref="F449:K449" si="147">F450+F451</f>
        <v>223333</v>
      </c>
      <c r="G449" s="75">
        <f t="shared" si="147"/>
        <v>0</v>
      </c>
      <c r="H449" s="75">
        <f t="shared" si="147"/>
        <v>9145</v>
      </c>
      <c r="I449" s="75">
        <f t="shared" si="147"/>
        <v>82190</v>
      </c>
      <c r="J449" s="75">
        <f t="shared" si="147"/>
        <v>131998</v>
      </c>
      <c r="K449" s="75">
        <f t="shared" si="147"/>
        <v>0</v>
      </c>
      <c r="L449" s="32" t="s">
        <v>254</v>
      </c>
      <c r="M449" s="80"/>
    </row>
    <row r="450" spans="1:13" ht="38.25" x14ac:dyDescent="0.25">
      <c r="A450" s="443"/>
      <c r="B450" s="437"/>
      <c r="C450" s="80"/>
      <c r="D450" s="83" t="s">
        <v>132</v>
      </c>
      <c r="E450" s="35">
        <v>0</v>
      </c>
      <c r="F450" s="35">
        <f t="shared" ref="F450:G450" si="148">F454+F458+F462+F466</f>
        <v>20397.5</v>
      </c>
      <c r="G450" s="35">
        <f t="shared" si="148"/>
        <v>0</v>
      </c>
      <c r="H450" s="35">
        <f>H454+H458+H462+H466</f>
        <v>5802.5</v>
      </c>
      <c r="I450" s="35">
        <f t="shared" ref="I450:K450" si="149">I454+I458+I462+I466</f>
        <v>14595</v>
      </c>
      <c r="J450" s="35">
        <f t="shared" si="149"/>
        <v>0</v>
      </c>
      <c r="K450" s="35">
        <f t="shared" si="149"/>
        <v>0</v>
      </c>
      <c r="L450" s="80" t="s">
        <v>254</v>
      </c>
      <c r="M450" s="80"/>
    </row>
    <row r="451" spans="1:13" ht="38.25" x14ac:dyDescent="0.25">
      <c r="A451" s="443"/>
      <c r="B451" s="437"/>
      <c r="C451" s="80"/>
      <c r="D451" s="90" t="s">
        <v>133</v>
      </c>
      <c r="E451" s="91">
        <v>0</v>
      </c>
      <c r="F451" s="91">
        <f t="shared" ref="F451:G451" si="150">F455+F459+F463+F467</f>
        <v>202935.5</v>
      </c>
      <c r="G451" s="91">
        <f t="shared" si="150"/>
        <v>0</v>
      </c>
      <c r="H451" s="91">
        <f>H455+H459+H463+H467</f>
        <v>3342.5</v>
      </c>
      <c r="I451" s="91">
        <f t="shared" ref="F451:K452" si="151">I455+I459</f>
        <v>67595</v>
      </c>
      <c r="J451" s="91">
        <f t="shared" si="151"/>
        <v>131998</v>
      </c>
      <c r="K451" s="91">
        <f t="shared" si="151"/>
        <v>0</v>
      </c>
      <c r="L451" s="71" t="s">
        <v>254</v>
      </c>
      <c r="M451" s="71"/>
    </row>
    <row r="452" spans="1:13" ht="38.25" x14ac:dyDescent="0.25">
      <c r="A452" s="444"/>
      <c r="B452" s="438"/>
      <c r="C452" s="80"/>
      <c r="D452" s="86" t="s">
        <v>51</v>
      </c>
      <c r="E452" s="41">
        <f>E456</f>
        <v>0</v>
      </c>
      <c r="F452" s="41">
        <f t="shared" si="151"/>
        <v>0</v>
      </c>
      <c r="G452" s="41">
        <f t="shared" si="151"/>
        <v>0</v>
      </c>
      <c r="H452" s="41">
        <f t="shared" si="151"/>
        <v>0</v>
      </c>
      <c r="I452" s="41">
        <f t="shared" si="151"/>
        <v>0</v>
      </c>
      <c r="J452" s="41">
        <f>J456+J460</f>
        <v>0</v>
      </c>
      <c r="K452" s="41">
        <f>K456+K460</f>
        <v>0</v>
      </c>
      <c r="L452" s="40" t="s">
        <v>254</v>
      </c>
      <c r="M452" s="40"/>
    </row>
    <row r="453" spans="1:13" ht="38.25" customHeight="1" x14ac:dyDescent="0.25">
      <c r="A453" s="421" t="s">
        <v>418</v>
      </c>
      <c r="B453" s="426" t="s">
        <v>428</v>
      </c>
      <c r="C453" s="255"/>
      <c r="D453" s="178" t="s">
        <v>49</v>
      </c>
      <c r="E453" s="38">
        <f>E454+E455+E456</f>
        <v>0</v>
      </c>
      <c r="F453" s="38">
        <f t="shared" ref="F453:K453" si="152">F454+F455+F456</f>
        <v>19210</v>
      </c>
      <c r="G453" s="38">
        <f t="shared" si="152"/>
        <v>0</v>
      </c>
      <c r="H453" s="38">
        <f t="shared" si="152"/>
        <v>6685</v>
      </c>
      <c r="I453" s="38">
        <f t="shared" si="152"/>
        <v>12525</v>
      </c>
      <c r="J453" s="38">
        <f t="shared" si="152"/>
        <v>0</v>
      </c>
      <c r="K453" s="38">
        <f t="shared" si="152"/>
        <v>0</v>
      </c>
      <c r="L453" s="39" t="s">
        <v>50</v>
      </c>
      <c r="M453" s="39"/>
    </row>
    <row r="454" spans="1:13" ht="38.25" x14ac:dyDescent="0.25">
      <c r="A454" s="422"/>
      <c r="B454" s="427"/>
      <c r="C454" s="255" t="s">
        <v>134</v>
      </c>
      <c r="D454" s="84" t="s">
        <v>132</v>
      </c>
      <c r="E454" s="74">
        <v>0</v>
      </c>
      <c r="F454" s="74">
        <f>G454+H454+I454+J454+K454</f>
        <v>9605</v>
      </c>
      <c r="G454" s="74">
        <v>0</v>
      </c>
      <c r="H454" s="74">
        <v>3342.5</v>
      </c>
      <c r="I454" s="74">
        <v>6262.5</v>
      </c>
      <c r="J454" s="74">
        <v>0</v>
      </c>
      <c r="K454" s="74">
        <v>0</v>
      </c>
      <c r="L454" s="255" t="s">
        <v>50</v>
      </c>
      <c r="M454" s="255"/>
    </row>
    <row r="455" spans="1:13" ht="38.25" x14ac:dyDescent="0.25">
      <c r="A455" s="422"/>
      <c r="B455" s="427"/>
      <c r="C455" s="255" t="s">
        <v>134</v>
      </c>
      <c r="D455" s="84" t="s">
        <v>133</v>
      </c>
      <c r="E455" s="74">
        <v>0</v>
      </c>
      <c r="F455" s="74">
        <f>G455+H455+I455+J455+K455</f>
        <v>9605</v>
      </c>
      <c r="G455" s="74">
        <v>0</v>
      </c>
      <c r="H455" s="74">
        <v>3342.5</v>
      </c>
      <c r="I455" s="74">
        <v>6262.5</v>
      </c>
      <c r="J455" s="74">
        <v>0</v>
      </c>
      <c r="K455" s="74">
        <v>0</v>
      </c>
      <c r="L455" s="255" t="s">
        <v>50</v>
      </c>
      <c r="M455" s="255"/>
    </row>
    <row r="456" spans="1:13" ht="38.25" x14ac:dyDescent="0.25">
      <c r="A456" s="423"/>
      <c r="B456" s="428"/>
      <c r="C456" s="255" t="s">
        <v>134</v>
      </c>
      <c r="D456" s="84" t="s">
        <v>51</v>
      </c>
      <c r="E456" s="74">
        <v>0</v>
      </c>
      <c r="F456" s="74">
        <f>G456+H456+I456+J456+K456</f>
        <v>0</v>
      </c>
      <c r="G456" s="74">
        <v>0</v>
      </c>
      <c r="H456" s="74">
        <v>0</v>
      </c>
      <c r="I456" s="74">
        <v>0</v>
      </c>
      <c r="J456" s="74">
        <v>0</v>
      </c>
      <c r="K456" s="74">
        <v>0</v>
      </c>
      <c r="L456" s="255" t="s">
        <v>50</v>
      </c>
      <c r="M456" s="255"/>
    </row>
    <row r="457" spans="1:13" ht="36" customHeight="1" x14ac:dyDescent="0.25">
      <c r="A457" s="421" t="s">
        <v>419</v>
      </c>
      <c r="B457" s="426" t="s">
        <v>624</v>
      </c>
      <c r="C457" s="272"/>
      <c r="D457" s="178" t="s">
        <v>49</v>
      </c>
      <c r="E457" s="38">
        <f>E458+E459+E460</f>
        <v>0</v>
      </c>
      <c r="F457" s="38">
        <f t="shared" ref="F457:K457" si="153">F458+F459+F460</f>
        <v>201663</v>
      </c>
      <c r="G457" s="38">
        <f t="shared" si="153"/>
        <v>0</v>
      </c>
      <c r="H457" s="38">
        <f t="shared" si="153"/>
        <v>0</v>
      </c>
      <c r="I457" s="38">
        <f t="shared" si="153"/>
        <v>69665</v>
      </c>
      <c r="J457" s="38">
        <f t="shared" si="153"/>
        <v>131998</v>
      </c>
      <c r="K457" s="38">
        <f t="shared" si="153"/>
        <v>0</v>
      </c>
      <c r="L457" s="39" t="s">
        <v>50</v>
      </c>
      <c r="M457" s="39"/>
    </row>
    <row r="458" spans="1:13" ht="38.25" x14ac:dyDescent="0.25">
      <c r="A458" s="422"/>
      <c r="B458" s="427"/>
      <c r="C458" s="272" t="s">
        <v>134</v>
      </c>
      <c r="D458" s="84" t="s">
        <v>132</v>
      </c>
      <c r="E458" s="74">
        <v>0</v>
      </c>
      <c r="F458" s="74">
        <f>G458+H458+I458+J458+K458</f>
        <v>8332.5</v>
      </c>
      <c r="G458" s="74">
        <v>0</v>
      </c>
      <c r="H458" s="74">
        <v>0</v>
      </c>
      <c r="I458" s="74">
        <v>8332.5</v>
      </c>
      <c r="J458" s="74">
        <v>0</v>
      </c>
      <c r="K458" s="74">
        <v>0</v>
      </c>
      <c r="L458" s="272" t="s">
        <v>50</v>
      </c>
      <c r="M458" s="272"/>
    </row>
    <row r="459" spans="1:13" ht="38.25" x14ac:dyDescent="0.25">
      <c r="A459" s="422"/>
      <c r="B459" s="427"/>
      <c r="C459" s="272" t="s">
        <v>134</v>
      </c>
      <c r="D459" s="84" t="s">
        <v>133</v>
      </c>
      <c r="E459" s="74">
        <v>0</v>
      </c>
      <c r="F459" s="74">
        <f>G459+H459+I459+J459+K459</f>
        <v>193330.5</v>
      </c>
      <c r="G459" s="74">
        <v>0</v>
      </c>
      <c r="H459" s="74">
        <v>0</v>
      </c>
      <c r="I459" s="74">
        <v>61332.5</v>
      </c>
      <c r="J459" s="74">
        <v>131998</v>
      </c>
      <c r="K459" s="74">
        <v>0</v>
      </c>
      <c r="L459" s="272" t="s">
        <v>50</v>
      </c>
      <c r="M459" s="272"/>
    </row>
    <row r="460" spans="1:13" ht="38.25" x14ac:dyDescent="0.25">
      <c r="A460" s="423"/>
      <c r="B460" s="428"/>
      <c r="C460" s="272" t="s">
        <v>134</v>
      </c>
      <c r="D460" s="84" t="s">
        <v>51</v>
      </c>
      <c r="E460" s="74">
        <v>0</v>
      </c>
      <c r="F460" s="74">
        <f>G460+H460+I460+J460+K460</f>
        <v>0</v>
      </c>
      <c r="G460" s="74">
        <v>0</v>
      </c>
      <c r="H460" s="74">
        <v>0</v>
      </c>
      <c r="I460" s="74">
        <v>0</v>
      </c>
      <c r="J460" s="74">
        <v>0</v>
      </c>
      <c r="K460" s="74">
        <v>0</v>
      </c>
      <c r="L460" s="272" t="s">
        <v>50</v>
      </c>
      <c r="M460" s="272"/>
    </row>
    <row r="461" spans="1:13" s="278" customFormat="1" ht="38.25" x14ac:dyDescent="0.25">
      <c r="A461" s="421" t="s">
        <v>436</v>
      </c>
      <c r="B461" s="426" t="s">
        <v>553</v>
      </c>
      <c r="C461" s="289"/>
      <c r="D461" s="178" t="s">
        <v>49</v>
      </c>
      <c r="E461" s="38">
        <f>E462+E463+E464</f>
        <v>0</v>
      </c>
      <c r="F461" s="38">
        <f t="shared" ref="F461:K461" si="154">F462+F463+F464</f>
        <v>1560</v>
      </c>
      <c r="G461" s="38">
        <f t="shared" si="154"/>
        <v>0</v>
      </c>
      <c r="H461" s="38">
        <f t="shared" si="154"/>
        <v>1560</v>
      </c>
      <c r="I461" s="38">
        <f t="shared" si="154"/>
        <v>0</v>
      </c>
      <c r="J461" s="38">
        <f t="shared" si="154"/>
        <v>0</v>
      </c>
      <c r="K461" s="38">
        <f t="shared" si="154"/>
        <v>0</v>
      </c>
      <c r="L461" s="39" t="s">
        <v>254</v>
      </c>
      <c r="M461" s="39"/>
    </row>
    <row r="462" spans="1:13" s="278" customFormat="1" ht="38.25" x14ac:dyDescent="0.25">
      <c r="A462" s="422"/>
      <c r="B462" s="427"/>
      <c r="C462" s="289" t="s">
        <v>134</v>
      </c>
      <c r="D462" s="279" t="s">
        <v>132</v>
      </c>
      <c r="E462" s="74">
        <v>0</v>
      </c>
      <c r="F462" s="74">
        <f>G462+H462+I462+J462+K462</f>
        <v>1560</v>
      </c>
      <c r="G462" s="74">
        <v>0</v>
      </c>
      <c r="H462" s="281">
        <v>1560</v>
      </c>
      <c r="I462" s="74">
        <v>0</v>
      </c>
      <c r="J462" s="74">
        <v>0</v>
      </c>
      <c r="K462" s="74">
        <v>0</v>
      </c>
      <c r="L462" s="289" t="s">
        <v>254</v>
      </c>
      <c r="M462" s="289"/>
    </row>
    <row r="463" spans="1:13" s="278" customFormat="1" ht="38.25" x14ac:dyDescent="0.25">
      <c r="A463" s="422"/>
      <c r="B463" s="427"/>
      <c r="C463" s="289" t="s">
        <v>134</v>
      </c>
      <c r="D463" s="279" t="s">
        <v>133</v>
      </c>
      <c r="E463" s="74">
        <v>0</v>
      </c>
      <c r="F463" s="74">
        <f>G463+H463+I463+J463+K463</f>
        <v>0</v>
      </c>
      <c r="G463" s="74">
        <v>0</v>
      </c>
      <c r="H463" s="74">
        <v>0</v>
      </c>
      <c r="I463" s="74">
        <v>0</v>
      </c>
      <c r="J463" s="74">
        <v>0</v>
      </c>
      <c r="K463" s="74">
        <v>0</v>
      </c>
      <c r="L463" s="289" t="s">
        <v>254</v>
      </c>
      <c r="M463" s="289"/>
    </row>
    <row r="464" spans="1:13" s="278" customFormat="1" ht="38.25" x14ac:dyDescent="0.25">
      <c r="A464" s="423"/>
      <c r="B464" s="428"/>
      <c r="C464" s="289" t="s">
        <v>134</v>
      </c>
      <c r="D464" s="279" t="s">
        <v>51</v>
      </c>
      <c r="E464" s="74">
        <v>0</v>
      </c>
      <c r="F464" s="74">
        <f>G464+H464+I464+J464+K464</f>
        <v>0</v>
      </c>
      <c r="G464" s="74">
        <f>I464</f>
        <v>0</v>
      </c>
      <c r="H464" s="74">
        <v>0</v>
      </c>
      <c r="I464" s="74">
        <f>K464</f>
        <v>0</v>
      </c>
      <c r="J464" s="74">
        <v>0</v>
      </c>
      <c r="K464" s="74">
        <f>M464</f>
        <v>0</v>
      </c>
      <c r="L464" s="289" t="s">
        <v>254</v>
      </c>
      <c r="M464" s="289"/>
    </row>
    <row r="465" spans="1:14" s="278" customFormat="1" ht="38.25" customHeight="1" x14ac:dyDescent="0.25">
      <c r="A465" s="421" t="s">
        <v>642</v>
      </c>
      <c r="B465" s="426" t="s">
        <v>430</v>
      </c>
      <c r="C465" s="289"/>
      <c r="D465" s="178" t="s">
        <v>49</v>
      </c>
      <c r="E465" s="38">
        <f>E466+E467+E468</f>
        <v>0</v>
      </c>
      <c r="F465" s="38">
        <f t="shared" ref="F465:K465" si="155">F466+F467+F468</f>
        <v>900</v>
      </c>
      <c r="G465" s="38">
        <f t="shared" si="155"/>
        <v>0</v>
      </c>
      <c r="H465" s="38">
        <f t="shared" si="155"/>
        <v>900</v>
      </c>
      <c r="I465" s="38">
        <f t="shared" si="155"/>
        <v>0</v>
      </c>
      <c r="J465" s="38">
        <f t="shared" si="155"/>
        <v>0</v>
      </c>
      <c r="K465" s="38">
        <f t="shared" si="155"/>
        <v>0</v>
      </c>
      <c r="L465" s="39" t="s">
        <v>254</v>
      </c>
      <c r="M465" s="39"/>
    </row>
    <row r="466" spans="1:14" s="278" customFormat="1" ht="38.25" x14ac:dyDescent="0.25">
      <c r="A466" s="422"/>
      <c r="B466" s="427"/>
      <c r="C466" s="289" t="s">
        <v>134</v>
      </c>
      <c r="D466" s="279" t="s">
        <v>132</v>
      </c>
      <c r="E466" s="74">
        <v>0</v>
      </c>
      <c r="F466" s="74">
        <f>G466+H466+I466+J466+K466</f>
        <v>900</v>
      </c>
      <c r="G466" s="74">
        <v>0</v>
      </c>
      <c r="H466" s="281">
        <v>900</v>
      </c>
      <c r="I466" s="74">
        <v>0</v>
      </c>
      <c r="J466" s="74">
        <v>0</v>
      </c>
      <c r="K466" s="74">
        <v>0</v>
      </c>
      <c r="L466" s="289" t="s">
        <v>254</v>
      </c>
      <c r="M466" s="289"/>
    </row>
    <row r="467" spans="1:14" s="278" customFormat="1" ht="38.25" x14ac:dyDescent="0.25">
      <c r="A467" s="422"/>
      <c r="B467" s="427"/>
      <c r="C467" s="289" t="s">
        <v>134</v>
      </c>
      <c r="D467" s="279" t="s">
        <v>133</v>
      </c>
      <c r="E467" s="74">
        <v>0</v>
      </c>
      <c r="F467" s="74">
        <f>G467+H467+I467+J467+K467</f>
        <v>0</v>
      </c>
      <c r="G467" s="74">
        <v>0</v>
      </c>
      <c r="H467" s="74">
        <v>0</v>
      </c>
      <c r="I467" s="74">
        <v>0</v>
      </c>
      <c r="J467" s="74">
        <v>0</v>
      </c>
      <c r="K467" s="74">
        <v>0</v>
      </c>
      <c r="L467" s="289" t="s">
        <v>254</v>
      </c>
      <c r="M467" s="289"/>
    </row>
    <row r="468" spans="1:14" s="278" customFormat="1" ht="38.25" x14ac:dyDescent="0.25">
      <c r="A468" s="423"/>
      <c r="B468" s="428"/>
      <c r="C468" s="289" t="s">
        <v>134</v>
      </c>
      <c r="D468" s="279" t="s">
        <v>51</v>
      </c>
      <c r="E468" s="74">
        <v>0</v>
      </c>
      <c r="F468" s="74">
        <f>G468+H468+I468+J468+K468</f>
        <v>0</v>
      </c>
      <c r="G468" s="74">
        <f>I468</f>
        <v>0</v>
      </c>
      <c r="H468" s="74">
        <v>0</v>
      </c>
      <c r="I468" s="74">
        <f>K468</f>
        <v>0</v>
      </c>
      <c r="J468" s="74">
        <v>0</v>
      </c>
      <c r="K468" s="74">
        <f>M468</f>
        <v>0</v>
      </c>
      <c r="L468" s="289" t="s">
        <v>254</v>
      </c>
      <c r="M468" s="289"/>
    </row>
    <row r="469" spans="1:14" ht="31.5" customHeight="1" x14ac:dyDescent="0.25">
      <c r="A469" s="488" t="s">
        <v>52</v>
      </c>
      <c r="B469" s="489"/>
      <c r="C469" s="80"/>
      <c r="D469" s="87" t="s">
        <v>49</v>
      </c>
      <c r="E469" s="75">
        <f t="shared" ref="E469:K469" si="156">E470+E471+E472</f>
        <v>0</v>
      </c>
      <c r="F469" s="75">
        <f t="shared" si="156"/>
        <v>267127.90000000002</v>
      </c>
      <c r="G469" s="75">
        <f t="shared" si="156"/>
        <v>33928.1</v>
      </c>
      <c r="H469" s="75">
        <f t="shared" si="156"/>
        <v>19011.8</v>
      </c>
      <c r="I469" s="75">
        <f t="shared" si="156"/>
        <v>82190</v>
      </c>
      <c r="J469" s="75">
        <f t="shared" si="156"/>
        <v>131998</v>
      </c>
      <c r="K469" s="75">
        <f t="shared" si="156"/>
        <v>0</v>
      </c>
      <c r="L469" s="32"/>
      <c r="M469" s="32"/>
    </row>
    <row r="470" spans="1:14" ht="38.25" x14ac:dyDescent="0.25">
      <c r="A470" s="490"/>
      <c r="B470" s="491"/>
      <c r="C470" s="80"/>
      <c r="D470" s="87" t="s">
        <v>132</v>
      </c>
      <c r="E470" s="75">
        <f>E410</f>
        <v>0</v>
      </c>
      <c r="F470" s="75">
        <f>F410+F422+F442+F450</f>
        <v>40478.199999999997</v>
      </c>
      <c r="G470" s="75">
        <f>G410+G422+G442+G450</f>
        <v>10213.9</v>
      </c>
      <c r="H470" s="75">
        <f>H410+H422+H442+H450</f>
        <v>15669.3</v>
      </c>
      <c r="I470" s="75">
        <f>I410+I422+I442+I450</f>
        <v>14595</v>
      </c>
      <c r="J470" s="75">
        <f>J410+J422+J442+J450</f>
        <v>0</v>
      </c>
      <c r="K470" s="75">
        <f>K410+K422+K442+K450</f>
        <v>0</v>
      </c>
      <c r="L470" s="80"/>
      <c r="M470" s="80"/>
      <c r="N470" s="17"/>
    </row>
    <row r="471" spans="1:14" ht="38.25" x14ac:dyDescent="0.25">
      <c r="A471" s="490"/>
      <c r="B471" s="491"/>
      <c r="C471" s="80"/>
      <c r="D471" s="88" t="s">
        <v>133</v>
      </c>
      <c r="E471" s="43">
        <f>E411</f>
        <v>0</v>
      </c>
      <c r="F471" s="43">
        <f>F411+F423+F443+F451</f>
        <v>226649.7</v>
      </c>
      <c r="G471" s="43">
        <f>G411+G423+G443+G451</f>
        <v>23714.2</v>
      </c>
      <c r="H471" s="43">
        <f>H411+H423+H443+H451</f>
        <v>3342.5</v>
      </c>
      <c r="I471" s="43">
        <f>I411+I423+I443+I451</f>
        <v>67595</v>
      </c>
      <c r="J471" s="43">
        <f>J411+J423+J443+J451</f>
        <v>131998</v>
      </c>
      <c r="K471" s="43">
        <f>K411+K423+K443+K451</f>
        <v>0</v>
      </c>
      <c r="L471" s="71"/>
      <c r="M471" s="71"/>
    </row>
    <row r="472" spans="1:14" ht="38.25" x14ac:dyDescent="0.25">
      <c r="A472" s="492"/>
      <c r="B472" s="493"/>
      <c r="C472" s="80"/>
      <c r="D472" s="89" t="s">
        <v>51</v>
      </c>
      <c r="E472" s="46">
        <f>E412</f>
        <v>0</v>
      </c>
      <c r="F472" s="46">
        <f>F412+F424+F444</f>
        <v>0</v>
      </c>
      <c r="G472" s="46">
        <f>G412+G424+G444</f>
        <v>0</v>
      </c>
      <c r="H472" s="46">
        <f>H412+H424+H444</f>
        <v>0</v>
      </c>
      <c r="I472" s="46">
        <f>I412+I424+I444</f>
        <v>0</v>
      </c>
      <c r="J472" s="46">
        <f>J412+J424+J444</f>
        <v>0</v>
      </c>
      <c r="K472" s="46">
        <f>K412+K424+K444</f>
        <v>0</v>
      </c>
      <c r="L472" s="40"/>
      <c r="M472" s="40"/>
    </row>
    <row r="473" spans="1:14" ht="28.5" customHeight="1" x14ac:dyDescent="0.25">
      <c r="A473" s="467" t="s">
        <v>250</v>
      </c>
      <c r="B473" s="468"/>
      <c r="C473" s="468"/>
      <c r="D473" s="468"/>
      <c r="E473" s="468"/>
      <c r="F473" s="468"/>
      <c r="G473" s="468"/>
      <c r="H473" s="468"/>
      <c r="I473" s="468"/>
      <c r="J473" s="468"/>
      <c r="K473" s="468"/>
      <c r="L473" s="468"/>
      <c r="M473" s="469"/>
    </row>
    <row r="474" spans="1:14" ht="36" customHeight="1" x14ac:dyDescent="0.25">
      <c r="A474" s="442" t="s">
        <v>211</v>
      </c>
      <c r="B474" s="464" t="s">
        <v>532</v>
      </c>
      <c r="C474" s="92"/>
      <c r="D474" s="32" t="s">
        <v>49</v>
      </c>
      <c r="E474" s="75">
        <f>E475+E476+E477</f>
        <v>5684.9</v>
      </c>
      <c r="F474" s="75">
        <f t="shared" ref="F474:K474" si="157">F475+F476+F477</f>
        <v>5492.0000000000009</v>
      </c>
      <c r="G474" s="75">
        <f t="shared" si="157"/>
        <v>5492.0000000000009</v>
      </c>
      <c r="H474" s="75">
        <f t="shared" si="157"/>
        <v>0</v>
      </c>
      <c r="I474" s="75">
        <f t="shared" si="157"/>
        <v>0</v>
      </c>
      <c r="J474" s="75">
        <f t="shared" si="157"/>
        <v>0</v>
      </c>
      <c r="K474" s="75">
        <f t="shared" si="157"/>
        <v>0</v>
      </c>
      <c r="L474" s="80"/>
      <c r="M474" s="80"/>
    </row>
    <row r="475" spans="1:14" ht="38.25" x14ac:dyDescent="0.25">
      <c r="A475" s="443"/>
      <c r="B475" s="465"/>
      <c r="C475" s="80"/>
      <c r="D475" s="80" t="s">
        <v>121</v>
      </c>
      <c r="E475" s="35">
        <f>E479+E483+E487+E491+E495</f>
        <v>5684.9</v>
      </c>
      <c r="F475" s="35">
        <f t="shared" ref="F475:K475" si="158">F479+F483+F487+F491+F495+F499</f>
        <v>5492.0000000000009</v>
      </c>
      <c r="G475" s="35">
        <f t="shared" si="158"/>
        <v>5492.0000000000009</v>
      </c>
      <c r="H475" s="35">
        <f t="shared" si="158"/>
        <v>0</v>
      </c>
      <c r="I475" s="35">
        <f t="shared" si="158"/>
        <v>0</v>
      </c>
      <c r="J475" s="35">
        <f t="shared" si="158"/>
        <v>0</v>
      </c>
      <c r="K475" s="35">
        <f t="shared" si="158"/>
        <v>0</v>
      </c>
      <c r="L475" s="83"/>
      <c r="M475" s="80"/>
    </row>
    <row r="476" spans="1:14" ht="38.25" x14ac:dyDescent="0.25">
      <c r="A476" s="443"/>
      <c r="B476" s="465"/>
      <c r="C476" s="80"/>
      <c r="D476" s="90" t="s">
        <v>133</v>
      </c>
      <c r="E476" s="91">
        <f>E480+E484+E488+E492</f>
        <v>0</v>
      </c>
      <c r="F476" s="91">
        <f t="shared" ref="F476:K476" si="159">F480+F484+F488+F492</f>
        <v>0</v>
      </c>
      <c r="G476" s="91">
        <f t="shared" si="159"/>
        <v>0</v>
      </c>
      <c r="H476" s="91">
        <f t="shared" si="159"/>
        <v>0</v>
      </c>
      <c r="I476" s="91">
        <f t="shared" si="159"/>
        <v>0</v>
      </c>
      <c r="J476" s="91">
        <f t="shared" si="159"/>
        <v>0</v>
      </c>
      <c r="K476" s="91">
        <f t="shared" si="159"/>
        <v>0</v>
      </c>
      <c r="L476" s="93"/>
      <c r="M476" s="71"/>
    </row>
    <row r="477" spans="1:14" ht="38.25" x14ac:dyDescent="0.25">
      <c r="A477" s="444"/>
      <c r="B477" s="466"/>
      <c r="C477" s="80"/>
      <c r="D477" s="86" t="s">
        <v>51</v>
      </c>
      <c r="E477" s="41">
        <f>E481+E485+E489+E493</f>
        <v>0</v>
      </c>
      <c r="F477" s="41">
        <f t="shared" ref="F477:K477" si="160">F481+F485</f>
        <v>0</v>
      </c>
      <c r="G477" s="41">
        <f t="shared" si="160"/>
        <v>0</v>
      </c>
      <c r="H477" s="41">
        <f t="shared" si="160"/>
        <v>0</v>
      </c>
      <c r="I477" s="41">
        <f t="shared" si="160"/>
        <v>0</v>
      </c>
      <c r="J477" s="41">
        <f t="shared" si="160"/>
        <v>0</v>
      </c>
      <c r="K477" s="41">
        <f t="shared" si="160"/>
        <v>0</v>
      </c>
      <c r="L477" s="94"/>
      <c r="M477" s="40"/>
    </row>
    <row r="478" spans="1:14" ht="38.25" x14ac:dyDescent="0.25">
      <c r="A478" s="455" t="s">
        <v>71</v>
      </c>
      <c r="B478" s="426" t="s">
        <v>296</v>
      </c>
      <c r="C478" s="171"/>
      <c r="D478" s="85" t="s">
        <v>49</v>
      </c>
      <c r="E478" s="38">
        <f>E479+E480+E481</f>
        <v>1693.4</v>
      </c>
      <c r="F478" s="38">
        <f t="shared" ref="F478:K478" si="161">F479+F480+F481</f>
        <v>1399.2</v>
      </c>
      <c r="G478" s="38">
        <f t="shared" si="161"/>
        <v>1399.2</v>
      </c>
      <c r="H478" s="38">
        <f t="shared" si="161"/>
        <v>0</v>
      </c>
      <c r="I478" s="27">
        <f t="shared" si="161"/>
        <v>0</v>
      </c>
      <c r="J478" s="27">
        <f t="shared" si="161"/>
        <v>0</v>
      </c>
      <c r="K478" s="27">
        <f t="shared" si="161"/>
        <v>0</v>
      </c>
      <c r="L478" s="260" t="s">
        <v>254</v>
      </c>
      <c r="M478" s="39"/>
    </row>
    <row r="479" spans="1:14" ht="38.25" x14ac:dyDescent="0.25">
      <c r="A479" s="456"/>
      <c r="B479" s="427"/>
      <c r="C479" s="171" t="s">
        <v>134</v>
      </c>
      <c r="D479" s="102" t="s">
        <v>132</v>
      </c>
      <c r="E479" s="74">
        <v>1693.4</v>
      </c>
      <c r="F479" s="74">
        <f>G479+H479+I479+J479+K479</f>
        <v>1399.2</v>
      </c>
      <c r="G479" s="74">
        <f>1414.2-15</f>
        <v>1399.2</v>
      </c>
      <c r="H479" s="74">
        <v>0</v>
      </c>
      <c r="I479" s="81">
        <v>0</v>
      </c>
      <c r="J479" s="81">
        <v>0</v>
      </c>
      <c r="K479" s="81">
        <v>0</v>
      </c>
      <c r="L479" s="261" t="s">
        <v>254</v>
      </c>
      <c r="M479" s="172"/>
    </row>
    <row r="480" spans="1:14" ht="38.25" x14ac:dyDescent="0.25">
      <c r="A480" s="456"/>
      <c r="B480" s="427"/>
      <c r="C480" s="171" t="s">
        <v>134</v>
      </c>
      <c r="D480" s="102" t="s">
        <v>133</v>
      </c>
      <c r="E480" s="74">
        <f>G480</f>
        <v>0</v>
      </c>
      <c r="F480" s="74">
        <f>G480+H480+I480+J480+K480</f>
        <v>0</v>
      </c>
      <c r="G480" s="74">
        <v>0</v>
      </c>
      <c r="H480" s="74">
        <v>0</v>
      </c>
      <c r="I480" s="81">
        <v>0</v>
      </c>
      <c r="J480" s="81">
        <v>0</v>
      </c>
      <c r="K480" s="81">
        <v>0</v>
      </c>
      <c r="L480" s="261" t="s">
        <v>254</v>
      </c>
      <c r="M480" s="172"/>
    </row>
    <row r="481" spans="1:13" ht="38.25" x14ac:dyDescent="0.25">
      <c r="A481" s="457"/>
      <c r="B481" s="428"/>
      <c r="C481" s="172" t="s">
        <v>134</v>
      </c>
      <c r="D481" s="84" t="s">
        <v>51</v>
      </c>
      <c r="E481" s="74">
        <f>G481</f>
        <v>0</v>
      </c>
      <c r="F481" s="74">
        <f>G481+H481+I481+J481+K481</f>
        <v>0</v>
      </c>
      <c r="G481" s="74">
        <v>0</v>
      </c>
      <c r="H481" s="74">
        <v>0</v>
      </c>
      <c r="I481" s="74">
        <v>0</v>
      </c>
      <c r="J481" s="74">
        <v>0</v>
      </c>
      <c r="K481" s="74">
        <v>0</v>
      </c>
      <c r="L481" s="261" t="s">
        <v>254</v>
      </c>
      <c r="M481" s="172"/>
    </row>
    <row r="482" spans="1:13" ht="38.25" x14ac:dyDescent="0.25">
      <c r="A482" s="455" t="s">
        <v>66</v>
      </c>
      <c r="B482" s="426" t="s">
        <v>328</v>
      </c>
      <c r="C482" s="171"/>
      <c r="D482" s="85" t="s">
        <v>49</v>
      </c>
      <c r="E482" s="38">
        <f>E483+E484+E485</f>
        <v>1247.5999999999999</v>
      </c>
      <c r="F482" s="38">
        <f t="shared" ref="F482:K482" si="162">F483+F484+F485</f>
        <v>1247.5999999999999</v>
      </c>
      <c r="G482" s="38">
        <f t="shared" si="162"/>
        <v>1247.5999999999999</v>
      </c>
      <c r="H482" s="38">
        <f t="shared" si="162"/>
        <v>0</v>
      </c>
      <c r="I482" s="27">
        <f t="shared" si="162"/>
        <v>0</v>
      </c>
      <c r="J482" s="27">
        <f t="shared" si="162"/>
        <v>0</v>
      </c>
      <c r="K482" s="27">
        <f t="shared" si="162"/>
        <v>0</v>
      </c>
      <c r="L482" s="261" t="s">
        <v>254</v>
      </c>
      <c r="M482" s="39"/>
    </row>
    <row r="483" spans="1:13" ht="38.25" x14ac:dyDescent="0.25">
      <c r="A483" s="456"/>
      <c r="B483" s="427"/>
      <c r="C483" s="171" t="s">
        <v>134</v>
      </c>
      <c r="D483" s="102" t="s">
        <v>132</v>
      </c>
      <c r="E483" s="74">
        <f>G483</f>
        <v>1247.5999999999999</v>
      </c>
      <c r="F483" s="74">
        <f>G483+H483+I483+J483+K483</f>
        <v>1247.5999999999999</v>
      </c>
      <c r="G483" s="74">
        <f>1356-108.4</f>
        <v>1247.5999999999999</v>
      </c>
      <c r="H483" s="74">
        <v>0</v>
      </c>
      <c r="I483" s="81">
        <v>0</v>
      </c>
      <c r="J483" s="81">
        <v>0</v>
      </c>
      <c r="K483" s="81">
        <v>0</v>
      </c>
      <c r="L483" s="261" t="s">
        <v>254</v>
      </c>
      <c r="M483" s="172"/>
    </row>
    <row r="484" spans="1:13" ht="38.25" x14ac:dyDescent="0.25">
      <c r="A484" s="456"/>
      <c r="B484" s="427"/>
      <c r="C484" s="171" t="s">
        <v>134</v>
      </c>
      <c r="D484" s="102" t="s">
        <v>133</v>
      </c>
      <c r="E484" s="74">
        <f>G484</f>
        <v>0</v>
      </c>
      <c r="F484" s="74">
        <f>G484+H484+I484+J484+K484</f>
        <v>0</v>
      </c>
      <c r="G484" s="74">
        <v>0</v>
      </c>
      <c r="H484" s="74">
        <v>0</v>
      </c>
      <c r="I484" s="81">
        <v>0</v>
      </c>
      <c r="J484" s="81">
        <v>0</v>
      </c>
      <c r="K484" s="81">
        <v>0</v>
      </c>
      <c r="L484" s="261" t="s">
        <v>254</v>
      </c>
      <c r="M484" s="172"/>
    </row>
    <row r="485" spans="1:13" ht="38.25" x14ac:dyDescent="0.25">
      <c r="A485" s="457"/>
      <c r="B485" s="428"/>
      <c r="C485" s="172" t="s">
        <v>134</v>
      </c>
      <c r="D485" s="84" t="s">
        <v>51</v>
      </c>
      <c r="E485" s="74">
        <f>G485</f>
        <v>0</v>
      </c>
      <c r="F485" s="74">
        <f>G485+H485+I485+J485+K485</f>
        <v>0</v>
      </c>
      <c r="G485" s="74">
        <v>0</v>
      </c>
      <c r="H485" s="74">
        <v>0</v>
      </c>
      <c r="I485" s="74">
        <v>0</v>
      </c>
      <c r="J485" s="74">
        <v>0</v>
      </c>
      <c r="K485" s="74">
        <v>0</v>
      </c>
      <c r="L485" s="261" t="s">
        <v>254</v>
      </c>
      <c r="M485" s="172"/>
    </row>
    <row r="486" spans="1:13" ht="38.25" x14ac:dyDescent="0.25">
      <c r="A486" s="455" t="s">
        <v>140</v>
      </c>
      <c r="B486" s="426" t="s">
        <v>329</v>
      </c>
      <c r="C486" s="171"/>
      <c r="D486" s="85" t="s">
        <v>49</v>
      </c>
      <c r="E486" s="38">
        <f>E487+E488+E489</f>
        <v>1300</v>
      </c>
      <c r="F486" s="38">
        <f t="shared" ref="F486:K486" si="163">F487+F488+F489</f>
        <v>1300</v>
      </c>
      <c r="G486" s="38">
        <f t="shared" si="163"/>
        <v>1300</v>
      </c>
      <c r="H486" s="38">
        <f t="shared" si="163"/>
        <v>0</v>
      </c>
      <c r="I486" s="27">
        <f t="shared" si="163"/>
        <v>0</v>
      </c>
      <c r="J486" s="27">
        <f t="shared" si="163"/>
        <v>0</v>
      </c>
      <c r="K486" s="27">
        <f t="shared" si="163"/>
        <v>0</v>
      </c>
      <c r="L486" s="261" t="s">
        <v>254</v>
      </c>
      <c r="M486" s="39"/>
    </row>
    <row r="487" spans="1:13" ht="38.25" x14ac:dyDescent="0.25">
      <c r="A487" s="456"/>
      <c r="B487" s="427"/>
      <c r="C487" s="171" t="s">
        <v>134</v>
      </c>
      <c r="D487" s="102" t="s">
        <v>132</v>
      </c>
      <c r="E487" s="74">
        <f>G487</f>
        <v>1300</v>
      </c>
      <c r="F487" s="74">
        <f>G487+H487+I487+J487+K487</f>
        <v>1300</v>
      </c>
      <c r="G487" s="74">
        <v>1300</v>
      </c>
      <c r="H487" s="74">
        <v>0</v>
      </c>
      <c r="I487" s="81">
        <v>0</v>
      </c>
      <c r="J487" s="81">
        <v>0</v>
      </c>
      <c r="K487" s="81">
        <v>0</v>
      </c>
      <c r="L487" s="261" t="s">
        <v>254</v>
      </c>
      <c r="M487" s="172"/>
    </row>
    <row r="488" spans="1:13" ht="38.25" x14ac:dyDescent="0.25">
      <c r="A488" s="456"/>
      <c r="B488" s="427"/>
      <c r="C488" s="171" t="s">
        <v>134</v>
      </c>
      <c r="D488" s="102" t="s">
        <v>133</v>
      </c>
      <c r="E488" s="74">
        <f>G488</f>
        <v>0</v>
      </c>
      <c r="F488" s="74">
        <f>G488+H488+I488+J488+K488</f>
        <v>0</v>
      </c>
      <c r="G488" s="74">
        <v>0</v>
      </c>
      <c r="H488" s="74">
        <v>0</v>
      </c>
      <c r="I488" s="81">
        <v>0</v>
      </c>
      <c r="J488" s="81">
        <v>0</v>
      </c>
      <c r="K488" s="81">
        <v>0</v>
      </c>
      <c r="L488" s="261" t="s">
        <v>254</v>
      </c>
      <c r="M488" s="172"/>
    </row>
    <row r="489" spans="1:13" ht="38.25" x14ac:dyDescent="0.25">
      <c r="A489" s="457"/>
      <c r="B489" s="428"/>
      <c r="C489" s="172" t="s">
        <v>134</v>
      </c>
      <c r="D489" s="84" t="s">
        <v>51</v>
      </c>
      <c r="E489" s="74">
        <f>G489</f>
        <v>0</v>
      </c>
      <c r="F489" s="74">
        <f>G489+H489+I489+J489+K489</f>
        <v>0</v>
      </c>
      <c r="G489" s="74">
        <v>0</v>
      </c>
      <c r="H489" s="74">
        <v>0</v>
      </c>
      <c r="I489" s="74">
        <v>0</v>
      </c>
      <c r="J489" s="74">
        <v>0</v>
      </c>
      <c r="K489" s="74">
        <v>0</v>
      </c>
      <c r="L489" s="261" t="s">
        <v>254</v>
      </c>
      <c r="M489" s="172"/>
    </row>
    <row r="490" spans="1:13" ht="38.25" x14ac:dyDescent="0.25">
      <c r="A490" s="455" t="s">
        <v>141</v>
      </c>
      <c r="B490" s="426" t="s">
        <v>330</v>
      </c>
      <c r="C490" s="194"/>
      <c r="D490" s="178" t="s">
        <v>49</v>
      </c>
      <c r="E490" s="38">
        <f>E491+E492+E493</f>
        <v>396</v>
      </c>
      <c r="F490" s="38">
        <f t="shared" ref="F490:K490" si="164">F491+F492+F493</f>
        <v>396</v>
      </c>
      <c r="G490" s="38">
        <f t="shared" si="164"/>
        <v>396</v>
      </c>
      <c r="H490" s="38">
        <f t="shared" si="164"/>
        <v>0</v>
      </c>
      <c r="I490" s="38">
        <f t="shared" si="164"/>
        <v>0</v>
      </c>
      <c r="J490" s="38">
        <f t="shared" si="164"/>
        <v>0</v>
      </c>
      <c r="K490" s="38">
        <f t="shared" si="164"/>
        <v>0</v>
      </c>
      <c r="L490" s="261" t="s">
        <v>254</v>
      </c>
      <c r="M490" s="39"/>
    </row>
    <row r="491" spans="1:13" ht="38.25" x14ac:dyDescent="0.25">
      <c r="A491" s="456"/>
      <c r="B491" s="427"/>
      <c r="C491" s="194" t="s">
        <v>134</v>
      </c>
      <c r="D491" s="84" t="s">
        <v>132</v>
      </c>
      <c r="E491" s="74">
        <f>G491</f>
        <v>396</v>
      </c>
      <c r="F491" s="74">
        <f>G491+H491+I491+J491+K491</f>
        <v>396</v>
      </c>
      <c r="G491" s="74">
        <v>396</v>
      </c>
      <c r="H491" s="74">
        <v>0</v>
      </c>
      <c r="I491" s="74">
        <v>0</v>
      </c>
      <c r="J491" s="74">
        <v>0</v>
      </c>
      <c r="K491" s="74">
        <v>0</v>
      </c>
      <c r="L491" s="261" t="s">
        <v>254</v>
      </c>
      <c r="M491" s="194"/>
    </row>
    <row r="492" spans="1:13" ht="38.25" x14ac:dyDescent="0.25">
      <c r="A492" s="456"/>
      <c r="B492" s="427"/>
      <c r="C492" s="194" t="s">
        <v>134</v>
      </c>
      <c r="D492" s="84" t="s">
        <v>133</v>
      </c>
      <c r="E492" s="74">
        <f>G492</f>
        <v>0</v>
      </c>
      <c r="F492" s="74">
        <f>G492+H492+I492+J492+K492</f>
        <v>0</v>
      </c>
      <c r="G492" s="74">
        <v>0</v>
      </c>
      <c r="H492" s="74">
        <v>0</v>
      </c>
      <c r="I492" s="74">
        <v>0</v>
      </c>
      <c r="J492" s="74">
        <v>0</v>
      </c>
      <c r="K492" s="74">
        <v>0</v>
      </c>
      <c r="L492" s="261" t="s">
        <v>254</v>
      </c>
      <c r="M492" s="194"/>
    </row>
    <row r="493" spans="1:13" ht="38.25" x14ac:dyDescent="0.25">
      <c r="A493" s="457"/>
      <c r="B493" s="428"/>
      <c r="C493" s="194" t="s">
        <v>134</v>
      </c>
      <c r="D493" s="84" t="s">
        <v>51</v>
      </c>
      <c r="E493" s="74">
        <f>G493</f>
        <v>0</v>
      </c>
      <c r="F493" s="74">
        <f>G493+H493+I493+J493+K493</f>
        <v>0</v>
      </c>
      <c r="G493" s="74">
        <v>0</v>
      </c>
      <c r="H493" s="74">
        <v>0</v>
      </c>
      <c r="I493" s="74">
        <v>0</v>
      </c>
      <c r="J493" s="74">
        <v>0</v>
      </c>
      <c r="K493" s="74">
        <v>0</v>
      </c>
      <c r="L493" s="261" t="s">
        <v>254</v>
      </c>
      <c r="M493" s="194"/>
    </row>
    <row r="494" spans="1:13" ht="38.25" x14ac:dyDescent="0.25">
      <c r="A494" s="455" t="s">
        <v>142</v>
      </c>
      <c r="B494" s="426" t="s">
        <v>356</v>
      </c>
      <c r="C494" s="194"/>
      <c r="D494" s="178" t="s">
        <v>49</v>
      </c>
      <c r="E494" s="38">
        <f>E495+E496+E497</f>
        <v>1047.9000000000001</v>
      </c>
      <c r="F494" s="38">
        <f t="shared" ref="F494:K494" si="165">F495+F496+F497</f>
        <v>1047.9000000000001</v>
      </c>
      <c r="G494" s="38">
        <f t="shared" si="165"/>
        <v>1047.9000000000001</v>
      </c>
      <c r="H494" s="38">
        <f t="shared" si="165"/>
        <v>0</v>
      </c>
      <c r="I494" s="38">
        <f t="shared" si="165"/>
        <v>0</v>
      </c>
      <c r="J494" s="38">
        <f t="shared" si="165"/>
        <v>0</v>
      </c>
      <c r="K494" s="38">
        <f t="shared" si="165"/>
        <v>0</v>
      </c>
      <c r="L494" s="261" t="s">
        <v>254</v>
      </c>
      <c r="M494" s="39"/>
    </row>
    <row r="495" spans="1:13" ht="38.25" x14ac:dyDescent="0.25">
      <c r="A495" s="456"/>
      <c r="B495" s="427"/>
      <c r="C495" s="194" t="s">
        <v>134</v>
      </c>
      <c r="D495" s="84" t="s">
        <v>132</v>
      </c>
      <c r="E495" s="74">
        <f>G495</f>
        <v>1047.9000000000001</v>
      </c>
      <c r="F495" s="74">
        <f t="shared" ref="F495:F501" si="166">G495+H495+I495+J495+K495</f>
        <v>1047.9000000000001</v>
      </c>
      <c r="G495" s="74">
        <f>1547.9-500</f>
        <v>1047.9000000000001</v>
      </c>
      <c r="H495" s="74">
        <v>0</v>
      </c>
      <c r="I495" s="74">
        <v>0</v>
      </c>
      <c r="J495" s="74">
        <v>0</v>
      </c>
      <c r="K495" s="74">
        <v>0</v>
      </c>
      <c r="L495" s="261" t="s">
        <v>254</v>
      </c>
      <c r="M495" s="194"/>
    </row>
    <row r="496" spans="1:13" ht="38.25" x14ac:dyDescent="0.25">
      <c r="A496" s="456"/>
      <c r="B496" s="427"/>
      <c r="C496" s="194" t="s">
        <v>134</v>
      </c>
      <c r="D496" s="84" t="s">
        <v>133</v>
      </c>
      <c r="E496" s="74">
        <f>G496</f>
        <v>0</v>
      </c>
      <c r="F496" s="74">
        <f t="shared" si="166"/>
        <v>0</v>
      </c>
      <c r="G496" s="74">
        <v>0</v>
      </c>
      <c r="H496" s="74">
        <v>0</v>
      </c>
      <c r="I496" s="74">
        <v>0</v>
      </c>
      <c r="J496" s="74">
        <v>0</v>
      </c>
      <c r="K496" s="74">
        <v>0</v>
      </c>
      <c r="L496" s="261" t="s">
        <v>254</v>
      </c>
      <c r="M496" s="194"/>
    </row>
    <row r="497" spans="1:13" ht="38.25" x14ac:dyDescent="0.25">
      <c r="A497" s="457"/>
      <c r="B497" s="428"/>
      <c r="C497" s="194" t="s">
        <v>134</v>
      </c>
      <c r="D497" s="84" t="s">
        <v>51</v>
      </c>
      <c r="E497" s="74">
        <f>G497</f>
        <v>0</v>
      </c>
      <c r="F497" s="74">
        <f t="shared" si="166"/>
        <v>0</v>
      </c>
      <c r="G497" s="74">
        <v>0</v>
      </c>
      <c r="H497" s="74">
        <v>0</v>
      </c>
      <c r="I497" s="74">
        <v>0</v>
      </c>
      <c r="J497" s="74">
        <v>0</v>
      </c>
      <c r="K497" s="74">
        <v>0</v>
      </c>
      <c r="L497" s="261" t="s">
        <v>254</v>
      </c>
      <c r="M497" s="194"/>
    </row>
    <row r="498" spans="1:13" ht="63.75" customHeight="1" x14ac:dyDescent="0.25">
      <c r="A498" s="421" t="s">
        <v>63</v>
      </c>
      <c r="B498" s="484" t="s">
        <v>355</v>
      </c>
      <c r="C498" s="109"/>
      <c r="D498" s="197" t="s">
        <v>49</v>
      </c>
      <c r="E498" s="198">
        <f>E499+E500+E501</f>
        <v>105</v>
      </c>
      <c r="F498" s="198">
        <f t="shared" si="166"/>
        <v>101.3</v>
      </c>
      <c r="G498" s="198">
        <f>G499+G500+G501</f>
        <v>101.3</v>
      </c>
      <c r="H498" s="198">
        <f>H499+H500+H501</f>
        <v>0</v>
      </c>
      <c r="I498" s="198">
        <f>I499+I500+I501</f>
        <v>0</v>
      </c>
      <c r="J498" s="198">
        <f>J499+J500+J501</f>
        <v>0</v>
      </c>
      <c r="K498" s="198">
        <f>K499+K500+K501</f>
        <v>0</v>
      </c>
      <c r="L498" s="261" t="s">
        <v>254</v>
      </c>
      <c r="M498" s="199"/>
    </row>
    <row r="499" spans="1:13" ht="38.25" x14ac:dyDescent="0.25">
      <c r="A499" s="422"/>
      <c r="B499" s="485"/>
      <c r="C499" s="109" t="s">
        <v>134</v>
      </c>
      <c r="D499" s="195" t="s">
        <v>132</v>
      </c>
      <c r="E499" s="200">
        <v>105</v>
      </c>
      <c r="F499" s="200">
        <f t="shared" si="166"/>
        <v>101.3</v>
      </c>
      <c r="G499" s="200">
        <v>101.3</v>
      </c>
      <c r="H499" s="200">
        <v>0</v>
      </c>
      <c r="I499" s="200">
        <v>0</v>
      </c>
      <c r="J499" s="200">
        <v>0</v>
      </c>
      <c r="K499" s="200">
        <v>0</v>
      </c>
      <c r="L499" s="261" t="s">
        <v>254</v>
      </c>
      <c r="M499" s="199"/>
    </row>
    <row r="500" spans="1:13" ht="38.25" x14ac:dyDescent="0.25">
      <c r="A500" s="422"/>
      <c r="B500" s="485"/>
      <c r="C500" s="109" t="s">
        <v>134</v>
      </c>
      <c r="D500" s="195" t="s">
        <v>133</v>
      </c>
      <c r="E500" s="200">
        <f>G500</f>
        <v>0</v>
      </c>
      <c r="F500" s="200">
        <f t="shared" si="166"/>
        <v>0</v>
      </c>
      <c r="G500" s="200">
        <v>0</v>
      </c>
      <c r="H500" s="200">
        <v>0</v>
      </c>
      <c r="I500" s="200">
        <v>0</v>
      </c>
      <c r="J500" s="200">
        <v>0</v>
      </c>
      <c r="K500" s="200">
        <v>0</v>
      </c>
      <c r="L500" s="261" t="s">
        <v>254</v>
      </c>
      <c r="M500" s="199"/>
    </row>
    <row r="501" spans="1:13" ht="38.25" x14ac:dyDescent="0.25">
      <c r="A501" s="423"/>
      <c r="B501" s="486"/>
      <c r="C501" s="109" t="s">
        <v>134</v>
      </c>
      <c r="D501" s="195" t="s">
        <v>51</v>
      </c>
      <c r="E501" s="200">
        <f>G501</f>
        <v>0</v>
      </c>
      <c r="F501" s="200">
        <f t="shared" si="166"/>
        <v>0</v>
      </c>
      <c r="G501" s="200">
        <v>0</v>
      </c>
      <c r="H501" s="200">
        <v>0</v>
      </c>
      <c r="I501" s="200">
        <v>0</v>
      </c>
      <c r="J501" s="200">
        <v>0</v>
      </c>
      <c r="K501" s="200">
        <v>0</v>
      </c>
      <c r="L501" s="261" t="s">
        <v>254</v>
      </c>
      <c r="M501" s="199"/>
    </row>
    <row r="502" spans="1:13" ht="28.5" customHeight="1" x14ac:dyDescent="0.25">
      <c r="A502" s="470" t="s">
        <v>222</v>
      </c>
      <c r="B502" s="464" t="s">
        <v>533</v>
      </c>
      <c r="C502" s="464"/>
      <c r="D502" s="32" t="s">
        <v>11</v>
      </c>
      <c r="E502" s="75">
        <f>E503+E504+E505</f>
        <v>2281.4</v>
      </c>
      <c r="F502" s="75">
        <f t="shared" ref="F502:K502" si="167">F503+F504+F505</f>
        <v>2281.4</v>
      </c>
      <c r="G502" s="75">
        <f t="shared" si="167"/>
        <v>2281.4</v>
      </c>
      <c r="H502" s="75">
        <f t="shared" si="167"/>
        <v>0</v>
      </c>
      <c r="I502" s="75">
        <f t="shared" si="167"/>
        <v>0</v>
      </c>
      <c r="J502" s="75">
        <f t="shared" si="167"/>
        <v>0</v>
      </c>
      <c r="K502" s="75">
        <f t="shared" si="167"/>
        <v>0</v>
      </c>
      <c r="L502" s="80"/>
      <c r="M502" s="80"/>
    </row>
    <row r="503" spans="1:13" ht="38.25" x14ac:dyDescent="0.25">
      <c r="A503" s="471"/>
      <c r="B503" s="465"/>
      <c r="C503" s="465"/>
      <c r="D503" s="80" t="s">
        <v>132</v>
      </c>
      <c r="E503" s="35">
        <f>E507+E511+E515+E519+E523</f>
        <v>2281.4</v>
      </c>
      <c r="F503" s="35">
        <f>F507+F511+F515+F519+F523</f>
        <v>2281.4</v>
      </c>
      <c r="G503" s="35">
        <f>G507+G511+G515+G519+G523</f>
        <v>2281.4</v>
      </c>
      <c r="H503" s="35">
        <f>H507+H511+H515+H519+H523</f>
        <v>0</v>
      </c>
      <c r="I503" s="35">
        <v>0</v>
      </c>
      <c r="J503" s="35">
        <v>0</v>
      </c>
      <c r="K503" s="35">
        <v>0</v>
      </c>
      <c r="L503" s="80"/>
      <c r="M503" s="80"/>
    </row>
    <row r="504" spans="1:13" ht="38.25" x14ac:dyDescent="0.25">
      <c r="A504" s="471"/>
      <c r="B504" s="465"/>
      <c r="C504" s="465"/>
      <c r="D504" s="90" t="s">
        <v>133</v>
      </c>
      <c r="E504" s="91">
        <f>E508+E512+E516+E520+E524</f>
        <v>0</v>
      </c>
      <c r="F504" s="91">
        <f t="shared" ref="F504:K504" si="168">F508+F512+F516+F520+F524</f>
        <v>0</v>
      </c>
      <c r="G504" s="91">
        <f t="shared" si="168"/>
        <v>0</v>
      </c>
      <c r="H504" s="91">
        <f t="shared" si="168"/>
        <v>0</v>
      </c>
      <c r="I504" s="91">
        <f t="shared" si="168"/>
        <v>0</v>
      </c>
      <c r="J504" s="91">
        <f t="shared" si="168"/>
        <v>0</v>
      </c>
      <c r="K504" s="91">
        <f t="shared" si="168"/>
        <v>0</v>
      </c>
      <c r="L504" s="93"/>
      <c r="M504" s="71"/>
    </row>
    <row r="505" spans="1:13" ht="38.25" x14ac:dyDescent="0.25">
      <c r="A505" s="472"/>
      <c r="B505" s="466"/>
      <c r="C505" s="466"/>
      <c r="D505" s="86" t="s">
        <v>51</v>
      </c>
      <c r="E505" s="41">
        <f>+E509+E513+E517+E521+E525</f>
        <v>0</v>
      </c>
      <c r="F505" s="41">
        <f t="shared" ref="F505:K505" si="169">+F509+F513+F517+F521+F525</f>
        <v>0</v>
      </c>
      <c r="G505" s="41">
        <f t="shared" si="169"/>
        <v>0</v>
      </c>
      <c r="H505" s="41">
        <f t="shared" si="169"/>
        <v>0</v>
      </c>
      <c r="I505" s="41">
        <f t="shared" si="169"/>
        <v>0</v>
      </c>
      <c r="J505" s="41">
        <f t="shared" si="169"/>
        <v>0</v>
      </c>
      <c r="K505" s="41">
        <f t="shared" si="169"/>
        <v>0</v>
      </c>
      <c r="L505" s="94"/>
      <c r="M505" s="40"/>
    </row>
    <row r="506" spans="1:13" ht="38.25" x14ac:dyDescent="0.25">
      <c r="A506" s="455" t="s">
        <v>67</v>
      </c>
      <c r="B506" s="426" t="s">
        <v>331</v>
      </c>
      <c r="C506" s="171"/>
      <c r="D506" s="85" t="s">
        <v>49</v>
      </c>
      <c r="E506" s="27">
        <f>E507+E508+E509</f>
        <v>0</v>
      </c>
      <c r="F506" s="27">
        <f t="shared" ref="F506:K506" si="170">F507+F508+F509</f>
        <v>0</v>
      </c>
      <c r="G506" s="27">
        <f t="shared" si="170"/>
        <v>0</v>
      </c>
      <c r="H506" s="27">
        <f t="shared" si="170"/>
        <v>0</v>
      </c>
      <c r="I506" s="27">
        <f t="shared" si="170"/>
        <v>0</v>
      </c>
      <c r="J506" s="27">
        <f t="shared" si="170"/>
        <v>0</v>
      </c>
      <c r="K506" s="27">
        <f t="shared" si="170"/>
        <v>0</v>
      </c>
      <c r="L506" s="260" t="s">
        <v>254</v>
      </c>
      <c r="M506" s="39"/>
    </row>
    <row r="507" spans="1:13" ht="38.25" x14ac:dyDescent="0.25">
      <c r="A507" s="456"/>
      <c r="B507" s="427"/>
      <c r="C507" s="171" t="s">
        <v>134</v>
      </c>
      <c r="D507" s="102" t="s">
        <v>132</v>
      </c>
      <c r="E507" s="81">
        <f>G507</f>
        <v>0</v>
      </c>
      <c r="F507" s="74">
        <f>G507+H507+I507+J507+K507</f>
        <v>0</v>
      </c>
      <c r="G507" s="74">
        <v>0</v>
      </c>
      <c r="H507" s="81">
        <v>0</v>
      </c>
      <c r="I507" s="81">
        <v>0</v>
      </c>
      <c r="J507" s="81">
        <v>0</v>
      </c>
      <c r="K507" s="81">
        <v>0</v>
      </c>
      <c r="L507" s="261" t="s">
        <v>254</v>
      </c>
      <c r="M507" s="172"/>
    </row>
    <row r="508" spans="1:13" ht="38.25" x14ac:dyDescent="0.25">
      <c r="A508" s="456"/>
      <c r="B508" s="427"/>
      <c r="C508" s="171" t="s">
        <v>134</v>
      </c>
      <c r="D508" s="102" t="s">
        <v>133</v>
      </c>
      <c r="E508" s="81">
        <f>G508</f>
        <v>0</v>
      </c>
      <c r="F508" s="81">
        <f>G508+H508+I508+J508+K508</f>
        <v>0</v>
      </c>
      <c r="G508" s="81">
        <v>0</v>
      </c>
      <c r="H508" s="81">
        <v>0</v>
      </c>
      <c r="I508" s="81">
        <v>0</v>
      </c>
      <c r="J508" s="81">
        <v>0</v>
      </c>
      <c r="K508" s="81">
        <v>0</v>
      </c>
      <c r="L508" s="261" t="s">
        <v>254</v>
      </c>
      <c r="M508" s="172"/>
    </row>
    <row r="509" spans="1:13" ht="38.25" x14ac:dyDescent="0.25">
      <c r="A509" s="457"/>
      <c r="B509" s="428"/>
      <c r="C509" s="172" t="s">
        <v>134</v>
      </c>
      <c r="D509" s="84" t="s">
        <v>51</v>
      </c>
      <c r="E509" s="74">
        <f>G509</f>
        <v>0</v>
      </c>
      <c r="F509" s="74">
        <f>G509+H509+I509+J509+K509</f>
        <v>0</v>
      </c>
      <c r="G509" s="74">
        <v>0</v>
      </c>
      <c r="H509" s="74">
        <v>0</v>
      </c>
      <c r="I509" s="74">
        <v>0</v>
      </c>
      <c r="J509" s="74">
        <v>0</v>
      </c>
      <c r="K509" s="74">
        <v>0</v>
      </c>
      <c r="L509" s="261" t="s">
        <v>254</v>
      </c>
      <c r="M509" s="172"/>
    </row>
    <row r="510" spans="1:13" ht="38.25" x14ac:dyDescent="0.25">
      <c r="A510" s="455" t="s">
        <v>68</v>
      </c>
      <c r="B510" s="426" t="s">
        <v>536</v>
      </c>
      <c r="C510" s="171"/>
      <c r="D510" s="85" t="s">
        <v>49</v>
      </c>
      <c r="E510" s="27">
        <f>E511+E512+E513</f>
        <v>300</v>
      </c>
      <c r="F510" s="27">
        <f t="shared" ref="F510:K510" si="171">F511+F512+F513</f>
        <v>300</v>
      </c>
      <c r="G510" s="27">
        <f t="shared" si="171"/>
        <v>300</v>
      </c>
      <c r="H510" s="27">
        <f t="shared" si="171"/>
        <v>0</v>
      </c>
      <c r="I510" s="27">
        <f t="shared" si="171"/>
        <v>0</v>
      </c>
      <c r="J510" s="27">
        <f t="shared" si="171"/>
        <v>0</v>
      </c>
      <c r="K510" s="27">
        <f t="shared" si="171"/>
        <v>0</v>
      </c>
      <c r="L510" s="261" t="s">
        <v>254</v>
      </c>
      <c r="M510" s="39"/>
    </row>
    <row r="511" spans="1:13" ht="38.25" x14ac:dyDescent="0.25">
      <c r="A511" s="456"/>
      <c r="B511" s="427"/>
      <c r="C511" s="171" t="s">
        <v>134</v>
      </c>
      <c r="D511" s="102" t="s">
        <v>132</v>
      </c>
      <c r="E511" s="74">
        <f>G511</f>
        <v>300</v>
      </c>
      <c r="F511" s="74">
        <f>G511+H511+I511+J511+K511</f>
        <v>300</v>
      </c>
      <c r="G511" s="74">
        <v>300</v>
      </c>
      <c r="H511" s="74">
        <v>0</v>
      </c>
      <c r="I511" s="81">
        <v>0</v>
      </c>
      <c r="J511" s="81">
        <v>0</v>
      </c>
      <c r="K511" s="81">
        <v>0</v>
      </c>
      <c r="L511" s="261" t="s">
        <v>254</v>
      </c>
      <c r="M511" s="172"/>
    </row>
    <row r="512" spans="1:13" ht="38.25" x14ac:dyDescent="0.25">
      <c r="A512" s="456"/>
      <c r="B512" s="427"/>
      <c r="C512" s="171" t="s">
        <v>134</v>
      </c>
      <c r="D512" s="102" t="s">
        <v>133</v>
      </c>
      <c r="E512" s="74">
        <f>G512</f>
        <v>0</v>
      </c>
      <c r="F512" s="74">
        <f>G512+H512+I512+J512+K512</f>
        <v>0</v>
      </c>
      <c r="G512" s="74">
        <v>0</v>
      </c>
      <c r="H512" s="74">
        <v>0</v>
      </c>
      <c r="I512" s="81">
        <v>0</v>
      </c>
      <c r="J512" s="81">
        <v>0</v>
      </c>
      <c r="K512" s="81">
        <v>0</v>
      </c>
      <c r="L512" s="261" t="s">
        <v>254</v>
      </c>
      <c r="M512" s="172"/>
    </row>
    <row r="513" spans="1:13" ht="38.25" x14ac:dyDescent="0.25">
      <c r="A513" s="457"/>
      <c r="B513" s="428"/>
      <c r="C513" s="172" t="s">
        <v>134</v>
      </c>
      <c r="D513" s="84" t="s">
        <v>51</v>
      </c>
      <c r="E513" s="74">
        <f>G513</f>
        <v>0</v>
      </c>
      <c r="F513" s="74">
        <f>G513+H513+I513+J513+K513</f>
        <v>0</v>
      </c>
      <c r="G513" s="74">
        <v>0</v>
      </c>
      <c r="H513" s="74">
        <v>0</v>
      </c>
      <c r="I513" s="74">
        <v>0</v>
      </c>
      <c r="J513" s="74">
        <v>0</v>
      </c>
      <c r="K513" s="74">
        <v>0</v>
      </c>
      <c r="L513" s="261" t="s">
        <v>254</v>
      </c>
      <c r="M513" s="172"/>
    </row>
    <row r="514" spans="1:13" ht="38.25" x14ac:dyDescent="0.25">
      <c r="A514" s="455" t="s">
        <v>69</v>
      </c>
      <c r="B514" s="426" t="s">
        <v>358</v>
      </c>
      <c r="C514" s="171"/>
      <c r="D514" s="85" t="s">
        <v>49</v>
      </c>
      <c r="E514" s="38">
        <f>E515+E516+E517</f>
        <v>599.4</v>
      </c>
      <c r="F514" s="38">
        <f t="shared" ref="F514:K514" si="172">F515+F516+F517</f>
        <v>599.4</v>
      </c>
      <c r="G514" s="38">
        <f t="shared" si="172"/>
        <v>599.4</v>
      </c>
      <c r="H514" s="38">
        <f t="shared" si="172"/>
        <v>0</v>
      </c>
      <c r="I514" s="27">
        <f t="shared" si="172"/>
        <v>0</v>
      </c>
      <c r="J514" s="27">
        <f t="shared" si="172"/>
        <v>0</v>
      </c>
      <c r="K514" s="27">
        <f t="shared" si="172"/>
        <v>0</v>
      </c>
      <c r="L514" s="261" t="s">
        <v>254</v>
      </c>
      <c r="M514" s="39"/>
    </row>
    <row r="515" spans="1:13" ht="38.25" x14ac:dyDescent="0.25">
      <c r="A515" s="456"/>
      <c r="B515" s="427"/>
      <c r="C515" s="171" t="s">
        <v>134</v>
      </c>
      <c r="D515" s="102" t="s">
        <v>132</v>
      </c>
      <c r="E515" s="74">
        <f>G515</f>
        <v>599.4</v>
      </c>
      <c r="F515" s="74">
        <f>G515+H515+I515+J515+K515</f>
        <v>599.4</v>
      </c>
      <c r="G515" s="74">
        <f>900-300-0.6</f>
        <v>599.4</v>
      </c>
      <c r="H515" s="74">
        <v>0</v>
      </c>
      <c r="I515" s="81">
        <v>0</v>
      </c>
      <c r="J515" s="81">
        <v>0</v>
      </c>
      <c r="K515" s="81">
        <v>0</v>
      </c>
      <c r="L515" s="261" t="s">
        <v>254</v>
      </c>
      <c r="M515" s="172"/>
    </row>
    <row r="516" spans="1:13" ht="38.25" x14ac:dyDescent="0.25">
      <c r="A516" s="456"/>
      <c r="B516" s="427"/>
      <c r="C516" s="171" t="s">
        <v>134</v>
      </c>
      <c r="D516" s="102" t="s">
        <v>133</v>
      </c>
      <c r="E516" s="74">
        <f>G516</f>
        <v>0</v>
      </c>
      <c r="F516" s="74">
        <f>G516+H516+I516+J516+K516</f>
        <v>0</v>
      </c>
      <c r="G516" s="74">
        <v>0</v>
      </c>
      <c r="H516" s="74">
        <v>0</v>
      </c>
      <c r="I516" s="81">
        <v>0</v>
      </c>
      <c r="J516" s="81">
        <v>0</v>
      </c>
      <c r="K516" s="81">
        <v>0</v>
      </c>
      <c r="L516" s="261" t="s">
        <v>254</v>
      </c>
      <c r="M516" s="172"/>
    </row>
    <row r="517" spans="1:13" ht="38.25" x14ac:dyDescent="0.25">
      <c r="A517" s="457"/>
      <c r="B517" s="428"/>
      <c r="C517" s="172" t="s">
        <v>134</v>
      </c>
      <c r="D517" s="84" t="s">
        <v>51</v>
      </c>
      <c r="E517" s="74">
        <f>G517</f>
        <v>0</v>
      </c>
      <c r="F517" s="74">
        <f>G517+H517+I517+J517+K517</f>
        <v>0</v>
      </c>
      <c r="G517" s="74">
        <v>0</v>
      </c>
      <c r="H517" s="74">
        <v>0</v>
      </c>
      <c r="I517" s="74">
        <v>0</v>
      </c>
      <c r="J517" s="74">
        <v>0</v>
      </c>
      <c r="K517" s="74">
        <v>0</v>
      </c>
      <c r="L517" s="261" t="s">
        <v>254</v>
      </c>
      <c r="M517" s="172"/>
    </row>
    <row r="518" spans="1:13" ht="38.25" x14ac:dyDescent="0.25">
      <c r="A518" s="455" t="s">
        <v>218</v>
      </c>
      <c r="B518" s="348" t="s">
        <v>332</v>
      </c>
      <c r="C518" s="171"/>
      <c r="D518" s="85" t="s">
        <v>49</v>
      </c>
      <c r="E518" s="38">
        <f>E519+E520+E521</f>
        <v>432</v>
      </c>
      <c r="F518" s="38">
        <f t="shared" ref="F518:K518" si="173">F519+F520+F521</f>
        <v>432</v>
      </c>
      <c r="G518" s="38">
        <f t="shared" si="173"/>
        <v>432</v>
      </c>
      <c r="H518" s="38">
        <f t="shared" si="173"/>
        <v>0</v>
      </c>
      <c r="I518" s="27">
        <f t="shared" si="173"/>
        <v>0</v>
      </c>
      <c r="J518" s="27">
        <f t="shared" si="173"/>
        <v>0</v>
      </c>
      <c r="K518" s="27">
        <f t="shared" si="173"/>
        <v>0</v>
      </c>
      <c r="L518" s="261" t="s">
        <v>254</v>
      </c>
      <c r="M518" s="39"/>
    </row>
    <row r="519" spans="1:13" ht="38.25" x14ac:dyDescent="0.25">
      <c r="A519" s="456"/>
      <c r="B519" s="349"/>
      <c r="C519" s="171" t="s">
        <v>134</v>
      </c>
      <c r="D519" s="102" t="s">
        <v>132</v>
      </c>
      <c r="E519" s="74">
        <f>G519</f>
        <v>432</v>
      </c>
      <c r="F519" s="74">
        <f>G519+H519+I519+J519+K519</f>
        <v>432</v>
      </c>
      <c r="G519" s="74">
        <f>440-8</f>
        <v>432</v>
      </c>
      <c r="H519" s="74">
        <v>0</v>
      </c>
      <c r="I519" s="81">
        <v>0</v>
      </c>
      <c r="J519" s="81">
        <v>0</v>
      </c>
      <c r="K519" s="81">
        <v>0</v>
      </c>
      <c r="L519" s="261" t="s">
        <v>254</v>
      </c>
      <c r="M519" s="172"/>
    </row>
    <row r="520" spans="1:13" ht="38.25" x14ac:dyDescent="0.25">
      <c r="A520" s="456"/>
      <c r="B520" s="349"/>
      <c r="C520" s="171" t="s">
        <v>134</v>
      </c>
      <c r="D520" s="102" t="s">
        <v>133</v>
      </c>
      <c r="E520" s="74">
        <f>G520</f>
        <v>0</v>
      </c>
      <c r="F520" s="74">
        <f>G520+H520+I520+J520+K520</f>
        <v>0</v>
      </c>
      <c r="G520" s="74">
        <v>0</v>
      </c>
      <c r="H520" s="74">
        <v>0</v>
      </c>
      <c r="I520" s="81">
        <v>0</v>
      </c>
      <c r="J520" s="81">
        <v>0</v>
      </c>
      <c r="K520" s="81">
        <v>0</v>
      </c>
      <c r="L520" s="261" t="s">
        <v>254</v>
      </c>
      <c r="M520" s="172"/>
    </row>
    <row r="521" spans="1:13" ht="38.25" x14ac:dyDescent="0.25">
      <c r="A521" s="457"/>
      <c r="B521" s="350"/>
      <c r="C521" s="172" t="s">
        <v>134</v>
      </c>
      <c r="D521" s="84" t="s">
        <v>51</v>
      </c>
      <c r="E521" s="74">
        <f>G521</f>
        <v>0</v>
      </c>
      <c r="F521" s="74">
        <f>G521+H521+I521+J521+K521</f>
        <v>0</v>
      </c>
      <c r="G521" s="74">
        <v>0</v>
      </c>
      <c r="H521" s="74">
        <v>0</v>
      </c>
      <c r="I521" s="74">
        <v>0</v>
      </c>
      <c r="J521" s="74">
        <v>0</v>
      </c>
      <c r="K521" s="74">
        <v>0</v>
      </c>
      <c r="L521" s="261" t="s">
        <v>254</v>
      </c>
      <c r="M521" s="172"/>
    </row>
    <row r="522" spans="1:13" ht="38.25" x14ac:dyDescent="0.25">
      <c r="A522" s="455" t="s">
        <v>357</v>
      </c>
      <c r="B522" s="426" t="s">
        <v>360</v>
      </c>
      <c r="C522" s="194"/>
      <c r="D522" s="178" t="s">
        <v>49</v>
      </c>
      <c r="E522" s="38">
        <f>E523+E524+E525</f>
        <v>950</v>
      </c>
      <c r="F522" s="38">
        <f t="shared" ref="F522:K522" si="174">F523+F524+F525</f>
        <v>950</v>
      </c>
      <c r="G522" s="38">
        <f t="shared" si="174"/>
        <v>950</v>
      </c>
      <c r="H522" s="38">
        <f t="shared" si="174"/>
        <v>0</v>
      </c>
      <c r="I522" s="27">
        <f t="shared" si="174"/>
        <v>0</v>
      </c>
      <c r="J522" s="27">
        <f t="shared" si="174"/>
        <v>0</v>
      </c>
      <c r="K522" s="27">
        <f t="shared" si="174"/>
        <v>0</v>
      </c>
      <c r="L522" s="261" t="s">
        <v>254</v>
      </c>
      <c r="M522" s="39"/>
    </row>
    <row r="523" spans="1:13" ht="38.25" x14ac:dyDescent="0.25">
      <c r="A523" s="456"/>
      <c r="B523" s="427"/>
      <c r="C523" s="194" t="s">
        <v>134</v>
      </c>
      <c r="D523" s="84" t="s">
        <v>132</v>
      </c>
      <c r="E523" s="74">
        <f>G523</f>
        <v>950</v>
      </c>
      <c r="F523" s="74">
        <f>G523+H523+I523+J523+K523</f>
        <v>950</v>
      </c>
      <c r="G523" s="74">
        <v>950</v>
      </c>
      <c r="H523" s="74">
        <v>0</v>
      </c>
      <c r="I523" s="81">
        <v>0</v>
      </c>
      <c r="J523" s="81">
        <v>0</v>
      </c>
      <c r="K523" s="81">
        <v>0</v>
      </c>
      <c r="L523" s="261" t="s">
        <v>254</v>
      </c>
      <c r="M523" s="172"/>
    </row>
    <row r="524" spans="1:13" ht="38.25" x14ac:dyDescent="0.25">
      <c r="A524" s="456"/>
      <c r="B524" s="427"/>
      <c r="C524" s="194" t="s">
        <v>134</v>
      </c>
      <c r="D524" s="84" t="s">
        <v>133</v>
      </c>
      <c r="E524" s="74">
        <f>G524</f>
        <v>0</v>
      </c>
      <c r="F524" s="74">
        <f>G524+H524+I524+J524+K524</f>
        <v>0</v>
      </c>
      <c r="G524" s="74">
        <v>0</v>
      </c>
      <c r="H524" s="74">
        <v>0</v>
      </c>
      <c r="I524" s="81">
        <v>0</v>
      </c>
      <c r="J524" s="81">
        <v>0</v>
      </c>
      <c r="K524" s="81">
        <v>0</v>
      </c>
      <c r="L524" s="261" t="s">
        <v>254</v>
      </c>
      <c r="M524" s="172"/>
    </row>
    <row r="525" spans="1:13" ht="38.25" x14ac:dyDescent="0.25">
      <c r="A525" s="457"/>
      <c r="B525" s="428"/>
      <c r="C525" s="194" t="s">
        <v>134</v>
      </c>
      <c r="D525" s="84" t="s">
        <v>51</v>
      </c>
      <c r="E525" s="74">
        <f>G525</f>
        <v>0</v>
      </c>
      <c r="F525" s="74">
        <f>G525+H525+I525+J525+K525</f>
        <v>0</v>
      </c>
      <c r="G525" s="74">
        <v>0</v>
      </c>
      <c r="H525" s="74">
        <v>0</v>
      </c>
      <c r="I525" s="74">
        <v>0</v>
      </c>
      <c r="J525" s="74">
        <v>0</v>
      </c>
      <c r="K525" s="74">
        <v>0</v>
      </c>
      <c r="L525" s="261" t="s">
        <v>254</v>
      </c>
      <c r="M525" s="172"/>
    </row>
    <row r="526" spans="1:13" ht="28.5" customHeight="1" x14ac:dyDescent="0.25">
      <c r="A526" s="470" t="s">
        <v>221</v>
      </c>
      <c r="B526" s="464" t="s">
        <v>534</v>
      </c>
      <c r="C526" s="464"/>
      <c r="D526" s="32" t="s">
        <v>11</v>
      </c>
      <c r="E526" s="75">
        <f>E527+E528+E529</f>
        <v>380</v>
      </c>
      <c r="F526" s="75">
        <f t="shared" ref="F526:K526" si="175">F527+F528+F529</f>
        <v>380</v>
      </c>
      <c r="G526" s="75">
        <f t="shared" si="175"/>
        <v>380</v>
      </c>
      <c r="H526" s="75">
        <f t="shared" si="175"/>
        <v>0</v>
      </c>
      <c r="I526" s="75">
        <f t="shared" si="175"/>
        <v>0</v>
      </c>
      <c r="J526" s="75">
        <f t="shared" si="175"/>
        <v>0</v>
      </c>
      <c r="K526" s="75">
        <f t="shared" si="175"/>
        <v>0</v>
      </c>
      <c r="L526" s="80"/>
      <c r="M526" s="80"/>
    </row>
    <row r="527" spans="1:13" ht="38.25" x14ac:dyDescent="0.25">
      <c r="A527" s="471"/>
      <c r="B527" s="465"/>
      <c r="C527" s="465"/>
      <c r="D527" s="80" t="s">
        <v>219</v>
      </c>
      <c r="E527" s="35">
        <f>E531</f>
        <v>380</v>
      </c>
      <c r="F527" s="35">
        <f t="shared" ref="F527:K527" si="176">F531</f>
        <v>380</v>
      </c>
      <c r="G527" s="35">
        <f t="shared" si="176"/>
        <v>380</v>
      </c>
      <c r="H527" s="35">
        <f t="shared" si="176"/>
        <v>0</v>
      </c>
      <c r="I527" s="35">
        <f t="shared" si="176"/>
        <v>0</v>
      </c>
      <c r="J527" s="35">
        <f t="shared" si="176"/>
        <v>0</v>
      </c>
      <c r="K527" s="35">
        <f t="shared" si="176"/>
        <v>0</v>
      </c>
      <c r="L527" s="80"/>
      <c r="M527" s="80"/>
    </row>
    <row r="528" spans="1:13" ht="38.25" x14ac:dyDescent="0.25">
      <c r="A528" s="471"/>
      <c r="B528" s="465"/>
      <c r="C528" s="465"/>
      <c r="D528" s="90" t="s">
        <v>133</v>
      </c>
      <c r="E528" s="91">
        <f>E532</f>
        <v>0</v>
      </c>
      <c r="F528" s="91">
        <f t="shared" ref="F528:K528" si="177">F532</f>
        <v>0</v>
      </c>
      <c r="G528" s="91">
        <f t="shared" si="177"/>
        <v>0</v>
      </c>
      <c r="H528" s="91">
        <f t="shared" si="177"/>
        <v>0</v>
      </c>
      <c r="I528" s="91">
        <f t="shared" si="177"/>
        <v>0</v>
      </c>
      <c r="J528" s="91">
        <f t="shared" si="177"/>
        <v>0</v>
      </c>
      <c r="K528" s="91">
        <f t="shared" si="177"/>
        <v>0</v>
      </c>
      <c r="L528" s="93"/>
      <c r="M528" s="71"/>
    </row>
    <row r="529" spans="1:14" ht="38.25" x14ac:dyDescent="0.25">
      <c r="A529" s="472"/>
      <c r="B529" s="466"/>
      <c r="C529" s="466"/>
      <c r="D529" s="86" t="s">
        <v>51</v>
      </c>
      <c r="E529" s="41">
        <f>E533</f>
        <v>0</v>
      </c>
      <c r="F529" s="41">
        <f t="shared" ref="F529:K529" si="178">F533</f>
        <v>0</v>
      </c>
      <c r="G529" s="41">
        <f t="shared" si="178"/>
        <v>0</v>
      </c>
      <c r="H529" s="41">
        <f t="shared" si="178"/>
        <v>0</v>
      </c>
      <c r="I529" s="41">
        <f t="shared" si="178"/>
        <v>0</v>
      </c>
      <c r="J529" s="41">
        <f t="shared" si="178"/>
        <v>0</v>
      </c>
      <c r="K529" s="41">
        <f t="shared" si="178"/>
        <v>0</v>
      </c>
      <c r="L529" s="94"/>
      <c r="M529" s="40"/>
    </row>
    <row r="530" spans="1:14" ht="38.25" x14ac:dyDescent="0.25">
      <c r="A530" s="455" t="s">
        <v>220</v>
      </c>
      <c r="B530" s="348" t="s">
        <v>333</v>
      </c>
      <c r="C530" s="171"/>
      <c r="D530" s="85" t="s">
        <v>49</v>
      </c>
      <c r="E530" s="27">
        <f>E531+E532+E533</f>
        <v>380</v>
      </c>
      <c r="F530" s="27">
        <f t="shared" ref="F530:K530" si="179">F531+F532+F533</f>
        <v>380</v>
      </c>
      <c r="G530" s="27">
        <f t="shared" si="179"/>
        <v>380</v>
      </c>
      <c r="H530" s="27">
        <f t="shared" si="179"/>
        <v>0</v>
      </c>
      <c r="I530" s="27">
        <f t="shared" si="179"/>
        <v>0</v>
      </c>
      <c r="J530" s="27">
        <f t="shared" si="179"/>
        <v>0</v>
      </c>
      <c r="K530" s="27">
        <f t="shared" si="179"/>
        <v>0</v>
      </c>
      <c r="L530" s="260" t="s">
        <v>254</v>
      </c>
      <c r="M530" s="39"/>
    </row>
    <row r="531" spans="1:14" ht="38.25" x14ac:dyDescent="0.25">
      <c r="A531" s="456"/>
      <c r="B531" s="349"/>
      <c r="C531" s="171" t="s">
        <v>134</v>
      </c>
      <c r="D531" s="102" t="s">
        <v>132</v>
      </c>
      <c r="E531" s="81">
        <f>G531</f>
        <v>380</v>
      </c>
      <c r="F531" s="81">
        <f>G531+H531+I531+J531+K531</f>
        <v>380</v>
      </c>
      <c r="G531" s="81">
        <v>380</v>
      </c>
      <c r="H531" s="81">
        <v>0</v>
      </c>
      <c r="I531" s="81">
        <v>0</v>
      </c>
      <c r="J531" s="81">
        <v>0</v>
      </c>
      <c r="K531" s="81">
        <v>0</v>
      </c>
      <c r="L531" s="261" t="s">
        <v>254</v>
      </c>
      <c r="M531" s="172"/>
    </row>
    <row r="532" spans="1:14" ht="38.25" x14ac:dyDescent="0.25">
      <c r="A532" s="456"/>
      <c r="B532" s="349"/>
      <c r="C532" s="171" t="s">
        <v>134</v>
      </c>
      <c r="D532" s="102" t="s">
        <v>133</v>
      </c>
      <c r="E532" s="81">
        <f>G532</f>
        <v>0</v>
      </c>
      <c r="F532" s="81">
        <f>G532+H532+I532+J532+K532</f>
        <v>0</v>
      </c>
      <c r="G532" s="81">
        <v>0</v>
      </c>
      <c r="H532" s="81">
        <v>0</v>
      </c>
      <c r="I532" s="81">
        <v>0</v>
      </c>
      <c r="J532" s="81">
        <v>0</v>
      </c>
      <c r="K532" s="81">
        <v>0</v>
      </c>
      <c r="L532" s="261" t="s">
        <v>254</v>
      </c>
      <c r="M532" s="172"/>
    </row>
    <row r="533" spans="1:14" ht="38.25" x14ac:dyDescent="0.25">
      <c r="A533" s="457"/>
      <c r="B533" s="350"/>
      <c r="C533" s="172" t="s">
        <v>134</v>
      </c>
      <c r="D533" s="84" t="s">
        <v>51</v>
      </c>
      <c r="E533" s="74">
        <f>G533</f>
        <v>0</v>
      </c>
      <c r="F533" s="74">
        <f>G533+H533+I533+J533+K533</f>
        <v>0</v>
      </c>
      <c r="G533" s="74">
        <v>0</v>
      </c>
      <c r="H533" s="74">
        <v>0</v>
      </c>
      <c r="I533" s="74">
        <v>0</v>
      </c>
      <c r="J533" s="74">
        <v>0</v>
      </c>
      <c r="K533" s="74">
        <v>0</v>
      </c>
      <c r="L533" s="261" t="s">
        <v>254</v>
      </c>
      <c r="M533" s="172"/>
    </row>
    <row r="534" spans="1:14" ht="28.5" customHeight="1" x14ac:dyDescent="0.25">
      <c r="A534" s="474" t="s">
        <v>52</v>
      </c>
      <c r="B534" s="475"/>
      <c r="C534" s="95"/>
      <c r="D534" s="32" t="s">
        <v>53</v>
      </c>
      <c r="E534" s="60">
        <f>E535+E536</f>
        <v>8346.2999999999993</v>
      </c>
      <c r="F534" s="60">
        <f t="shared" ref="F534:K534" si="180">F535+F536</f>
        <v>8153.4000000000015</v>
      </c>
      <c r="G534" s="60">
        <f t="shared" si="180"/>
        <v>8153.4000000000015</v>
      </c>
      <c r="H534" s="60">
        <f t="shared" si="180"/>
        <v>0</v>
      </c>
      <c r="I534" s="60">
        <f t="shared" si="180"/>
        <v>0</v>
      </c>
      <c r="J534" s="60">
        <f t="shared" si="180"/>
        <v>0</v>
      </c>
      <c r="K534" s="60">
        <f t="shared" si="180"/>
        <v>0</v>
      </c>
      <c r="L534" s="32"/>
      <c r="M534" s="32"/>
    </row>
    <row r="535" spans="1:14" ht="38.25" x14ac:dyDescent="0.25">
      <c r="A535" s="476"/>
      <c r="B535" s="477"/>
      <c r="C535" s="95"/>
      <c r="D535" s="32" t="s">
        <v>132</v>
      </c>
      <c r="E535" s="48">
        <f t="shared" ref="E535:K535" si="181">E475+E503+E527</f>
        <v>8346.2999999999993</v>
      </c>
      <c r="F535" s="48">
        <f t="shared" si="181"/>
        <v>8153.4000000000015</v>
      </c>
      <c r="G535" s="48">
        <f t="shared" si="181"/>
        <v>8153.4000000000015</v>
      </c>
      <c r="H535" s="48">
        <f t="shared" si="181"/>
        <v>0</v>
      </c>
      <c r="I535" s="48">
        <f t="shared" si="181"/>
        <v>0</v>
      </c>
      <c r="J535" s="48">
        <f t="shared" si="181"/>
        <v>0</v>
      </c>
      <c r="K535" s="48">
        <f t="shared" si="181"/>
        <v>0</v>
      </c>
      <c r="L535" s="32"/>
      <c r="M535" s="32"/>
      <c r="N535" s="17"/>
    </row>
    <row r="536" spans="1:14" ht="38.25" x14ac:dyDescent="0.25">
      <c r="A536" s="476"/>
      <c r="B536" s="477"/>
      <c r="C536" s="95"/>
      <c r="D536" s="42" t="s">
        <v>14</v>
      </c>
      <c r="E536" s="61">
        <f>E476+E504+E528</f>
        <v>0</v>
      </c>
      <c r="F536" s="61">
        <v>0</v>
      </c>
      <c r="G536" s="61">
        <v>0</v>
      </c>
      <c r="H536" s="61">
        <v>0</v>
      </c>
      <c r="I536" s="61">
        <v>0</v>
      </c>
      <c r="J536" s="61">
        <v>0</v>
      </c>
      <c r="K536" s="61">
        <v>0</v>
      </c>
      <c r="L536" s="42"/>
      <c r="M536" s="42"/>
    </row>
    <row r="537" spans="1:14" ht="38.25" x14ac:dyDescent="0.25">
      <c r="A537" s="478"/>
      <c r="B537" s="479"/>
      <c r="C537" s="95"/>
      <c r="D537" s="45" t="s">
        <v>51</v>
      </c>
      <c r="E537" s="47">
        <f>E477+E505+E529</f>
        <v>0</v>
      </c>
      <c r="F537" s="47">
        <f t="shared" ref="F537:K537" si="182">F477+F505+F529</f>
        <v>0</v>
      </c>
      <c r="G537" s="47">
        <f t="shared" si="182"/>
        <v>0</v>
      </c>
      <c r="H537" s="47">
        <f t="shared" si="182"/>
        <v>0</v>
      </c>
      <c r="I537" s="47">
        <f t="shared" si="182"/>
        <v>0</v>
      </c>
      <c r="J537" s="47">
        <f t="shared" si="182"/>
        <v>0</v>
      </c>
      <c r="K537" s="47">
        <f t="shared" si="182"/>
        <v>0</v>
      </c>
      <c r="L537" s="45"/>
      <c r="M537" s="45"/>
    </row>
    <row r="538" spans="1:14" ht="33" customHeight="1" x14ac:dyDescent="0.25">
      <c r="A538" s="487" t="s">
        <v>208</v>
      </c>
      <c r="B538" s="487"/>
      <c r="C538" s="487"/>
      <c r="D538" s="487"/>
      <c r="E538" s="487"/>
      <c r="F538" s="487"/>
      <c r="G538" s="487"/>
      <c r="H538" s="487"/>
      <c r="I538" s="487"/>
      <c r="J538" s="487"/>
      <c r="K538" s="487"/>
      <c r="L538" s="487"/>
      <c r="M538" s="487"/>
    </row>
    <row r="539" spans="1:14" ht="33" customHeight="1" x14ac:dyDescent="0.25">
      <c r="A539" s="442" t="s">
        <v>214</v>
      </c>
      <c r="B539" s="436" t="s">
        <v>151</v>
      </c>
      <c r="C539" s="72"/>
      <c r="D539" s="32" t="s">
        <v>49</v>
      </c>
      <c r="E539" s="75">
        <f>E540+E541+E542</f>
        <v>0</v>
      </c>
      <c r="F539" s="75">
        <f t="shared" ref="F539:K539" si="183">F540+F541+F542</f>
        <v>35359.920000000006</v>
      </c>
      <c r="G539" s="75">
        <f t="shared" si="183"/>
        <v>7279.420000000001</v>
      </c>
      <c r="H539" s="75">
        <f t="shared" si="183"/>
        <v>7052.4</v>
      </c>
      <c r="I539" s="75">
        <f t="shared" si="183"/>
        <v>6393.6</v>
      </c>
      <c r="J539" s="75">
        <f t="shared" si="183"/>
        <v>7314.9000000000005</v>
      </c>
      <c r="K539" s="75">
        <f t="shared" si="183"/>
        <v>7319.6</v>
      </c>
      <c r="L539" s="80"/>
      <c r="M539" s="80"/>
    </row>
    <row r="540" spans="1:14" ht="38.25" x14ac:dyDescent="0.25">
      <c r="A540" s="443"/>
      <c r="B540" s="437"/>
      <c r="C540" s="80"/>
      <c r="D540" s="83" t="s">
        <v>132</v>
      </c>
      <c r="E540" s="35">
        <f>E544+E548+E552+E556+E560+E564+E568+E572</f>
        <v>0</v>
      </c>
      <c r="F540" s="35">
        <f t="shared" ref="F540:K540" si="184">F544+F548+F552+F556+F560+F564+F568+F572+F576+F580</f>
        <v>35359.920000000006</v>
      </c>
      <c r="G540" s="35">
        <f t="shared" si="184"/>
        <v>7279.420000000001</v>
      </c>
      <c r="H540" s="35">
        <f t="shared" si="184"/>
        <v>7052.4</v>
      </c>
      <c r="I540" s="35">
        <f t="shared" si="184"/>
        <v>6393.6</v>
      </c>
      <c r="J540" s="35">
        <f t="shared" si="184"/>
        <v>7314.9000000000005</v>
      </c>
      <c r="K540" s="35">
        <f t="shared" si="184"/>
        <v>7319.6</v>
      </c>
      <c r="L540" s="80"/>
      <c r="M540" s="80"/>
    </row>
    <row r="541" spans="1:14" ht="38.25" x14ac:dyDescent="0.25">
      <c r="A541" s="443"/>
      <c r="B541" s="437"/>
      <c r="C541" s="80"/>
      <c r="D541" s="90" t="s">
        <v>133</v>
      </c>
      <c r="E541" s="91">
        <f>E545+E553+E557+E561+E565+E569+E573</f>
        <v>0</v>
      </c>
      <c r="F541" s="91">
        <f t="shared" ref="F541:K541" si="185">F545+F553+F557+F561+F565+F569+F573</f>
        <v>0</v>
      </c>
      <c r="G541" s="91">
        <f t="shared" si="185"/>
        <v>0</v>
      </c>
      <c r="H541" s="91">
        <f t="shared" si="185"/>
        <v>0</v>
      </c>
      <c r="I541" s="91">
        <f t="shared" si="185"/>
        <v>0</v>
      </c>
      <c r="J541" s="91">
        <f t="shared" si="185"/>
        <v>0</v>
      </c>
      <c r="K541" s="91">
        <f t="shared" si="185"/>
        <v>0</v>
      </c>
      <c r="L541" s="71"/>
      <c r="M541" s="71"/>
    </row>
    <row r="542" spans="1:14" ht="38.25" x14ac:dyDescent="0.25">
      <c r="A542" s="444"/>
      <c r="B542" s="438"/>
      <c r="C542" s="80"/>
      <c r="D542" s="86" t="s">
        <v>51</v>
      </c>
      <c r="E542" s="41">
        <f>E546+E550+E554+E558+E562+E566+E570+E574</f>
        <v>0</v>
      </c>
      <c r="F542" s="41">
        <f t="shared" ref="F542:K542" si="186">F546+F550+F554+F558+F562+F566+F570+F574</f>
        <v>0</v>
      </c>
      <c r="G542" s="41">
        <f t="shared" si="186"/>
        <v>0</v>
      </c>
      <c r="H542" s="41">
        <f t="shared" si="186"/>
        <v>0</v>
      </c>
      <c r="I542" s="41">
        <f t="shared" si="186"/>
        <v>0</v>
      </c>
      <c r="J542" s="41">
        <f t="shared" si="186"/>
        <v>0</v>
      </c>
      <c r="K542" s="41">
        <f t="shared" si="186"/>
        <v>0</v>
      </c>
      <c r="L542" s="40"/>
      <c r="M542" s="40"/>
    </row>
    <row r="543" spans="1:14" ht="25.5" x14ac:dyDescent="0.25">
      <c r="A543" s="421" t="s">
        <v>343</v>
      </c>
      <c r="B543" s="426" t="s">
        <v>296</v>
      </c>
      <c r="C543" s="176"/>
      <c r="D543" s="178" t="s">
        <v>49</v>
      </c>
      <c r="E543" s="38">
        <f>E544+E545+E546</f>
        <v>0</v>
      </c>
      <c r="F543" s="38">
        <f t="shared" ref="F543:K543" si="187">F544+F545+F546</f>
        <v>30111.72</v>
      </c>
      <c r="G543" s="38">
        <f t="shared" si="187"/>
        <v>5873.22</v>
      </c>
      <c r="H543" s="38">
        <f t="shared" si="187"/>
        <v>6917.7</v>
      </c>
      <c r="I543" s="38">
        <f t="shared" si="187"/>
        <v>5773.6</v>
      </c>
      <c r="J543" s="38">
        <f t="shared" si="187"/>
        <v>5773.6</v>
      </c>
      <c r="K543" s="38">
        <f t="shared" si="187"/>
        <v>5773.6</v>
      </c>
      <c r="L543" s="39" t="s">
        <v>50</v>
      </c>
      <c r="M543" s="39"/>
    </row>
    <row r="544" spans="1:14" ht="38.25" x14ac:dyDescent="0.25">
      <c r="A544" s="422"/>
      <c r="B544" s="427"/>
      <c r="C544" s="176" t="s">
        <v>134</v>
      </c>
      <c r="D544" s="84" t="s">
        <v>132</v>
      </c>
      <c r="E544" s="74">
        <v>0</v>
      </c>
      <c r="F544" s="74">
        <f>G544+H544+I544+J544+K544</f>
        <v>30111.72</v>
      </c>
      <c r="G544" s="74">
        <f>4185.9+1264.1-0.38+325.3+98.3</f>
        <v>5873.22</v>
      </c>
      <c r="H544" s="74">
        <v>6917.7</v>
      </c>
      <c r="I544" s="74">
        <v>5773.6</v>
      </c>
      <c r="J544" s="74">
        <v>5773.6</v>
      </c>
      <c r="K544" s="74">
        <v>5773.6</v>
      </c>
      <c r="L544" s="176" t="s">
        <v>50</v>
      </c>
      <c r="M544" s="170"/>
    </row>
    <row r="545" spans="1:13" ht="38.25" x14ac:dyDescent="0.25">
      <c r="A545" s="422"/>
      <c r="B545" s="427"/>
      <c r="C545" s="176" t="s">
        <v>134</v>
      </c>
      <c r="D545" s="84" t="s">
        <v>133</v>
      </c>
      <c r="E545" s="74">
        <v>0</v>
      </c>
      <c r="F545" s="74">
        <f>G545+H545+I545+J545+K545</f>
        <v>0</v>
      </c>
      <c r="G545" s="74">
        <v>0</v>
      </c>
      <c r="H545" s="74">
        <v>0</v>
      </c>
      <c r="I545" s="74">
        <v>0</v>
      </c>
      <c r="J545" s="74">
        <v>0</v>
      </c>
      <c r="K545" s="74">
        <v>0</v>
      </c>
      <c r="L545" s="176" t="s">
        <v>50</v>
      </c>
      <c r="M545" s="170"/>
    </row>
    <row r="546" spans="1:13" ht="38.25" x14ac:dyDescent="0.25">
      <c r="A546" s="423"/>
      <c r="B546" s="428"/>
      <c r="C546" s="176" t="s">
        <v>134</v>
      </c>
      <c r="D546" s="84" t="s">
        <v>51</v>
      </c>
      <c r="E546" s="74">
        <v>0</v>
      </c>
      <c r="F546" s="74">
        <f>G546+H546+I546+J546+K546</f>
        <v>0</v>
      </c>
      <c r="G546" s="74">
        <v>0</v>
      </c>
      <c r="H546" s="74">
        <v>0</v>
      </c>
      <c r="I546" s="74">
        <v>0</v>
      </c>
      <c r="J546" s="74">
        <v>0</v>
      </c>
      <c r="K546" s="74">
        <v>0</v>
      </c>
      <c r="L546" s="176" t="s">
        <v>50</v>
      </c>
      <c r="M546" s="170"/>
    </row>
    <row r="547" spans="1:13" ht="25.5" x14ac:dyDescent="0.25">
      <c r="A547" s="421" t="s">
        <v>344</v>
      </c>
      <c r="B547" s="426" t="s">
        <v>335</v>
      </c>
      <c r="C547" s="176"/>
      <c r="D547" s="178" t="s">
        <v>49</v>
      </c>
      <c r="E547" s="38">
        <f>E548+E549+E550</f>
        <v>0</v>
      </c>
      <c r="F547" s="38">
        <f t="shared" ref="F547:K547" si="188">F548+F549+F550</f>
        <v>74.7</v>
      </c>
      <c r="G547" s="38">
        <f t="shared" si="188"/>
        <v>15</v>
      </c>
      <c r="H547" s="38">
        <f t="shared" si="188"/>
        <v>14.7</v>
      </c>
      <c r="I547" s="38">
        <f t="shared" si="188"/>
        <v>15</v>
      </c>
      <c r="J547" s="38">
        <f t="shared" si="188"/>
        <v>15</v>
      </c>
      <c r="K547" s="38">
        <f t="shared" si="188"/>
        <v>15</v>
      </c>
      <c r="L547" s="39" t="s">
        <v>50</v>
      </c>
      <c r="M547" s="39"/>
    </row>
    <row r="548" spans="1:13" ht="38.25" x14ac:dyDescent="0.25">
      <c r="A548" s="422"/>
      <c r="B548" s="427"/>
      <c r="C548" s="176" t="s">
        <v>134</v>
      </c>
      <c r="D548" s="84" t="s">
        <v>132</v>
      </c>
      <c r="E548" s="74">
        <v>0</v>
      </c>
      <c r="F548" s="74">
        <f>G548+H548+I548+J548+K548</f>
        <v>74.7</v>
      </c>
      <c r="G548" s="74">
        <v>15</v>
      </c>
      <c r="H548" s="281">
        <v>14.7</v>
      </c>
      <c r="I548" s="74">
        <v>15</v>
      </c>
      <c r="J548" s="74">
        <v>15</v>
      </c>
      <c r="K548" s="74">
        <v>15</v>
      </c>
      <c r="L548" s="176" t="s">
        <v>50</v>
      </c>
      <c r="M548" s="170"/>
    </row>
    <row r="549" spans="1:13" ht="38.25" x14ac:dyDescent="0.25">
      <c r="A549" s="422"/>
      <c r="B549" s="427"/>
      <c r="C549" s="176" t="s">
        <v>134</v>
      </c>
      <c r="D549" s="84" t="s">
        <v>133</v>
      </c>
      <c r="E549" s="74">
        <v>0</v>
      </c>
      <c r="F549" s="74">
        <f>G549+H549+I549+J549+K549</f>
        <v>0</v>
      </c>
      <c r="G549" s="74">
        <v>0</v>
      </c>
      <c r="H549" s="74">
        <v>0</v>
      </c>
      <c r="I549" s="74">
        <v>0</v>
      </c>
      <c r="J549" s="74">
        <v>0</v>
      </c>
      <c r="K549" s="74">
        <v>0</v>
      </c>
      <c r="L549" s="176" t="s">
        <v>50</v>
      </c>
      <c r="M549" s="170"/>
    </row>
    <row r="550" spans="1:13" ht="38.25" x14ac:dyDescent="0.25">
      <c r="A550" s="423"/>
      <c r="B550" s="428"/>
      <c r="C550" s="176" t="s">
        <v>134</v>
      </c>
      <c r="D550" s="84" t="s">
        <v>51</v>
      </c>
      <c r="E550" s="74">
        <v>0</v>
      </c>
      <c r="F550" s="74">
        <f>G550+H550+I550+J550+K550</f>
        <v>0</v>
      </c>
      <c r="G550" s="74">
        <v>0</v>
      </c>
      <c r="H550" s="74">
        <v>0</v>
      </c>
      <c r="I550" s="74">
        <v>0</v>
      </c>
      <c r="J550" s="74">
        <v>0</v>
      </c>
      <c r="K550" s="74">
        <v>0</v>
      </c>
      <c r="L550" s="176" t="s">
        <v>50</v>
      </c>
      <c r="M550" s="170"/>
    </row>
    <row r="551" spans="1:13" ht="25.5" x14ac:dyDescent="0.25">
      <c r="A551" s="421" t="s">
        <v>140</v>
      </c>
      <c r="B551" s="426" t="s">
        <v>274</v>
      </c>
      <c r="C551" s="176"/>
      <c r="D551" s="178" t="s">
        <v>49</v>
      </c>
      <c r="E551" s="38">
        <f>E552+E553+E554</f>
        <v>0</v>
      </c>
      <c r="F551" s="38">
        <f t="shared" ref="F551:K551" si="189">F552+F553+F554</f>
        <v>1571.5</v>
      </c>
      <c r="G551" s="38">
        <f t="shared" si="189"/>
        <v>357.5</v>
      </c>
      <c r="H551" s="38">
        <f t="shared" si="189"/>
        <v>58</v>
      </c>
      <c r="I551" s="38">
        <f t="shared" si="189"/>
        <v>310</v>
      </c>
      <c r="J551" s="38">
        <f t="shared" si="189"/>
        <v>423</v>
      </c>
      <c r="K551" s="38">
        <f t="shared" si="189"/>
        <v>423</v>
      </c>
      <c r="L551" s="39" t="s">
        <v>50</v>
      </c>
      <c r="M551" s="39"/>
    </row>
    <row r="552" spans="1:13" ht="38.25" x14ac:dyDescent="0.25">
      <c r="A552" s="422"/>
      <c r="B552" s="427"/>
      <c r="C552" s="176" t="s">
        <v>134</v>
      </c>
      <c r="D552" s="84" t="s">
        <v>132</v>
      </c>
      <c r="E552" s="74">
        <v>0</v>
      </c>
      <c r="F552" s="74">
        <f>G552+H552+I552+J552+K552</f>
        <v>1571.5</v>
      </c>
      <c r="G552" s="74">
        <f>310-16.5+64</f>
        <v>357.5</v>
      </c>
      <c r="H552" s="281">
        <f>310-252</f>
        <v>58</v>
      </c>
      <c r="I552" s="74">
        <v>310</v>
      </c>
      <c r="J552" s="74">
        <v>423</v>
      </c>
      <c r="K552" s="74">
        <v>423</v>
      </c>
      <c r="L552" s="176" t="s">
        <v>50</v>
      </c>
      <c r="M552" s="170"/>
    </row>
    <row r="553" spans="1:13" ht="38.25" x14ac:dyDescent="0.25">
      <c r="A553" s="422"/>
      <c r="B553" s="427"/>
      <c r="C553" s="176" t="s">
        <v>134</v>
      </c>
      <c r="D553" s="84" t="s">
        <v>133</v>
      </c>
      <c r="E553" s="74">
        <v>0</v>
      </c>
      <c r="F553" s="74">
        <f>G553+H553+I553+J553+K553</f>
        <v>0</v>
      </c>
      <c r="G553" s="74">
        <v>0</v>
      </c>
      <c r="H553" s="74">
        <v>0</v>
      </c>
      <c r="I553" s="74">
        <v>0</v>
      </c>
      <c r="J553" s="74">
        <v>0</v>
      </c>
      <c r="K553" s="74">
        <v>0</v>
      </c>
      <c r="L553" s="176" t="s">
        <v>50</v>
      </c>
      <c r="M553" s="170"/>
    </row>
    <row r="554" spans="1:13" ht="38.25" x14ac:dyDescent="0.25">
      <c r="A554" s="423"/>
      <c r="B554" s="428"/>
      <c r="C554" s="176" t="s">
        <v>134</v>
      </c>
      <c r="D554" s="84" t="s">
        <v>51</v>
      </c>
      <c r="E554" s="74">
        <v>0</v>
      </c>
      <c r="F554" s="74">
        <f>G554+H554+I554+J554+K554</f>
        <v>0</v>
      </c>
      <c r="G554" s="74">
        <v>0</v>
      </c>
      <c r="H554" s="74">
        <v>0</v>
      </c>
      <c r="I554" s="74">
        <v>0</v>
      </c>
      <c r="J554" s="74">
        <v>0</v>
      </c>
      <c r="K554" s="74">
        <v>0</v>
      </c>
      <c r="L554" s="176" t="s">
        <v>50</v>
      </c>
      <c r="M554" s="170"/>
    </row>
    <row r="555" spans="1:13" ht="25.5" x14ac:dyDescent="0.25">
      <c r="A555" s="421" t="s">
        <v>141</v>
      </c>
      <c r="B555" s="426" t="s">
        <v>370</v>
      </c>
      <c r="C555" s="176"/>
      <c r="D555" s="178" t="s">
        <v>49</v>
      </c>
      <c r="E555" s="38">
        <f>E556+E557+E558</f>
        <v>0</v>
      </c>
      <c r="F555" s="38">
        <f t="shared" ref="F555:K555" si="190">F556+F557+F558</f>
        <v>875.5</v>
      </c>
      <c r="G555" s="38">
        <f t="shared" si="190"/>
        <v>205</v>
      </c>
      <c r="H555" s="38">
        <f t="shared" si="190"/>
        <v>51.199999999999989</v>
      </c>
      <c r="I555" s="38">
        <f t="shared" si="190"/>
        <v>195</v>
      </c>
      <c r="J555" s="38">
        <f t="shared" si="190"/>
        <v>229.3</v>
      </c>
      <c r="K555" s="38">
        <f t="shared" si="190"/>
        <v>195</v>
      </c>
      <c r="L555" s="39" t="s">
        <v>50</v>
      </c>
      <c r="M555" s="39"/>
    </row>
    <row r="556" spans="1:13" ht="38.25" x14ac:dyDescent="0.25">
      <c r="A556" s="422"/>
      <c r="B556" s="427"/>
      <c r="C556" s="176" t="s">
        <v>134</v>
      </c>
      <c r="D556" s="84" t="s">
        <v>132</v>
      </c>
      <c r="E556" s="74">
        <v>0</v>
      </c>
      <c r="F556" s="74">
        <f>G556+H556+I556+J556+K556</f>
        <v>875.5</v>
      </c>
      <c r="G556" s="74">
        <f>195+10</f>
        <v>205</v>
      </c>
      <c r="H556" s="281">
        <f>195-0.8-143</f>
        <v>51.199999999999989</v>
      </c>
      <c r="I556" s="74">
        <v>195</v>
      </c>
      <c r="J556" s="74">
        <v>229.3</v>
      </c>
      <c r="K556" s="74">
        <v>195</v>
      </c>
      <c r="L556" s="176" t="s">
        <v>50</v>
      </c>
      <c r="M556" s="170"/>
    </row>
    <row r="557" spans="1:13" ht="38.25" x14ac:dyDescent="0.25">
      <c r="A557" s="422"/>
      <c r="B557" s="427"/>
      <c r="C557" s="176" t="s">
        <v>134</v>
      </c>
      <c r="D557" s="84" t="s">
        <v>133</v>
      </c>
      <c r="E557" s="74">
        <v>0</v>
      </c>
      <c r="F557" s="74">
        <f>G557+H557+I557+J557+K557</f>
        <v>0</v>
      </c>
      <c r="G557" s="74">
        <v>0</v>
      </c>
      <c r="H557" s="74">
        <v>0</v>
      </c>
      <c r="I557" s="74">
        <v>0</v>
      </c>
      <c r="J557" s="74">
        <v>0</v>
      </c>
      <c r="K557" s="74">
        <v>0</v>
      </c>
      <c r="L557" s="176" t="s">
        <v>50</v>
      </c>
      <c r="M557" s="170"/>
    </row>
    <row r="558" spans="1:13" ht="38.25" x14ac:dyDescent="0.25">
      <c r="A558" s="423"/>
      <c r="B558" s="428"/>
      <c r="C558" s="176" t="s">
        <v>134</v>
      </c>
      <c r="D558" s="84" t="s">
        <v>51</v>
      </c>
      <c r="E558" s="74">
        <v>0</v>
      </c>
      <c r="F558" s="74">
        <f>G558+H558+I558+J558+K558</f>
        <v>0</v>
      </c>
      <c r="G558" s="74">
        <v>0</v>
      </c>
      <c r="H558" s="74">
        <v>0</v>
      </c>
      <c r="I558" s="74">
        <v>0</v>
      </c>
      <c r="J558" s="74">
        <v>0</v>
      </c>
      <c r="K558" s="74">
        <v>0</v>
      </c>
      <c r="L558" s="176" t="s">
        <v>50</v>
      </c>
      <c r="M558" s="170"/>
    </row>
    <row r="559" spans="1:13" ht="25.5" x14ac:dyDescent="0.25">
      <c r="A559" s="421" t="s">
        <v>142</v>
      </c>
      <c r="B559" s="426" t="s">
        <v>270</v>
      </c>
      <c r="C559" s="176"/>
      <c r="D559" s="178" t="s">
        <v>49</v>
      </c>
      <c r="E559" s="38">
        <f>E560+E561+E562</f>
        <v>0</v>
      </c>
      <c r="F559" s="38">
        <f t="shared" ref="F559:K559" si="191">F560+F561+F562</f>
        <v>234.6</v>
      </c>
      <c r="G559" s="38">
        <f t="shared" si="191"/>
        <v>48.6</v>
      </c>
      <c r="H559" s="38">
        <f t="shared" si="191"/>
        <v>10</v>
      </c>
      <c r="I559" s="38">
        <f t="shared" si="191"/>
        <v>50</v>
      </c>
      <c r="J559" s="38">
        <f t="shared" si="191"/>
        <v>63</v>
      </c>
      <c r="K559" s="38">
        <f t="shared" si="191"/>
        <v>63</v>
      </c>
      <c r="L559" s="39" t="s">
        <v>50</v>
      </c>
      <c r="M559" s="39"/>
    </row>
    <row r="560" spans="1:13" ht="38.25" x14ac:dyDescent="0.25">
      <c r="A560" s="422"/>
      <c r="B560" s="427"/>
      <c r="C560" s="176" t="s">
        <v>134</v>
      </c>
      <c r="D560" s="84" t="s">
        <v>132</v>
      </c>
      <c r="E560" s="74">
        <v>0</v>
      </c>
      <c r="F560" s="74">
        <f t="shared" ref="F560:F566" si="192">G560+H560+I560+J560+K560</f>
        <v>234.6</v>
      </c>
      <c r="G560" s="74">
        <f>50-1.4</f>
        <v>48.6</v>
      </c>
      <c r="H560" s="281">
        <f>50-40</f>
        <v>10</v>
      </c>
      <c r="I560" s="74">
        <v>50</v>
      </c>
      <c r="J560" s="74">
        <v>63</v>
      </c>
      <c r="K560" s="74">
        <v>63</v>
      </c>
      <c r="L560" s="176" t="s">
        <v>50</v>
      </c>
      <c r="M560" s="170"/>
    </row>
    <row r="561" spans="1:13" ht="38.25" x14ac:dyDescent="0.25">
      <c r="A561" s="422"/>
      <c r="B561" s="427"/>
      <c r="C561" s="176" t="s">
        <v>134</v>
      </c>
      <c r="D561" s="84" t="s">
        <v>133</v>
      </c>
      <c r="E561" s="74">
        <v>0</v>
      </c>
      <c r="F561" s="74">
        <f t="shared" si="192"/>
        <v>0</v>
      </c>
      <c r="G561" s="74">
        <v>0</v>
      </c>
      <c r="H561" s="74">
        <v>0</v>
      </c>
      <c r="I561" s="74">
        <v>0</v>
      </c>
      <c r="J561" s="74">
        <v>0</v>
      </c>
      <c r="K561" s="74">
        <v>0</v>
      </c>
      <c r="L561" s="176" t="s">
        <v>50</v>
      </c>
      <c r="M561" s="170"/>
    </row>
    <row r="562" spans="1:13" ht="38.25" x14ac:dyDescent="0.25">
      <c r="A562" s="423"/>
      <c r="B562" s="428"/>
      <c r="C562" s="176" t="s">
        <v>134</v>
      </c>
      <c r="D562" s="84" t="s">
        <v>51</v>
      </c>
      <c r="E562" s="74">
        <v>0</v>
      </c>
      <c r="F562" s="74">
        <f t="shared" si="192"/>
        <v>0</v>
      </c>
      <c r="G562" s="74">
        <v>0</v>
      </c>
      <c r="H562" s="74">
        <v>0</v>
      </c>
      <c r="I562" s="74">
        <v>0</v>
      </c>
      <c r="J562" s="74">
        <v>0</v>
      </c>
      <c r="K562" s="74">
        <v>0</v>
      </c>
      <c r="L562" s="176" t="s">
        <v>50</v>
      </c>
      <c r="M562" s="170"/>
    </row>
    <row r="563" spans="1:13" ht="25.5" customHeight="1" x14ac:dyDescent="0.25">
      <c r="A563" s="421" t="s">
        <v>63</v>
      </c>
      <c r="B563" s="426" t="s">
        <v>275</v>
      </c>
      <c r="C563" s="176"/>
      <c r="D563" s="178" t="s">
        <v>49</v>
      </c>
      <c r="E563" s="38">
        <f>E564+E565+E566</f>
        <v>0</v>
      </c>
      <c r="F563" s="38">
        <f t="shared" si="192"/>
        <v>278.5</v>
      </c>
      <c r="G563" s="38">
        <f>G564+G565+G566</f>
        <v>67.5</v>
      </c>
      <c r="H563" s="38">
        <f>H564+H565+H566</f>
        <v>0</v>
      </c>
      <c r="I563" s="38">
        <f>I564+I565+I566</f>
        <v>50</v>
      </c>
      <c r="J563" s="38">
        <f>J564+J565+J566</f>
        <v>111</v>
      </c>
      <c r="K563" s="38">
        <f>K564+K565+K566</f>
        <v>50</v>
      </c>
      <c r="L563" s="39" t="s">
        <v>50</v>
      </c>
      <c r="M563" s="39"/>
    </row>
    <row r="564" spans="1:13" ht="38.25" x14ac:dyDescent="0.25">
      <c r="A564" s="422"/>
      <c r="B564" s="427"/>
      <c r="C564" s="176" t="s">
        <v>134</v>
      </c>
      <c r="D564" s="84" t="s">
        <v>132</v>
      </c>
      <c r="E564" s="74">
        <v>0</v>
      </c>
      <c r="F564" s="74">
        <f t="shared" si="192"/>
        <v>278.5</v>
      </c>
      <c r="G564" s="74">
        <f>50+16.5+1</f>
        <v>67.5</v>
      </c>
      <c r="H564" s="74">
        <f>50-50</f>
        <v>0</v>
      </c>
      <c r="I564" s="74">
        <v>50</v>
      </c>
      <c r="J564" s="74">
        <v>111</v>
      </c>
      <c r="K564" s="74">
        <v>50</v>
      </c>
      <c r="L564" s="176" t="s">
        <v>50</v>
      </c>
      <c r="M564" s="170"/>
    </row>
    <row r="565" spans="1:13" ht="38.25" x14ac:dyDescent="0.25">
      <c r="A565" s="422"/>
      <c r="B565" s="427"/>
      <c r="C565" s="176" t="s">
        <v>134</v>
      </c>
      <c r="D565" s="84" t="s">
        <v>133</v>
      </c>
      <c r="E565" s="74">
        <v>0</v>
      </c>
      <c r="F565" s="74">
        <f t="shared" si="192"/>
        <v>0</v>
      </c>
      <c r="G565" s="74">
        <v>0</v>
      </c>
      <c r="H565" s="74">
        <v>0</v>
      </c>
      <c r="I565" s="74">
        <v>0</v>
      </c>
      <c r="J565" s="74">
        <v>0</v>
      </c>
      <c r="K565" s="74">
        <v>0</v>
      </c>
      <c r="L565" s="176" t="s">
        <v>50</v>
      </c>
      <c r="M565" s="169"/>
    </row>
    <row r="566" spans="1:13" ht="38.25" x14ac:dyDescent="0.25">
      <c r="A566" s="423"/>
      <c r="B566" s="428"/>
      <c r="C566" s="176" t="s">
        <v>134</v>
      </c>
      <c r="D566" s="84" t="s">
        <v>51</v>
      </c>
      <c r="E566" s="74">
        <v>0</v>
      </c>
      <c r="F566" s="74">
        <f t="shared" si="192"/>
        <v>0</v>
      </c>
      <c r="G566" s="74">
        <v>0</v>
      </c>
      <c r="H566" s="74">
        <v>0</v>
      </c>
      <c r="I566" s="74">
        <v>0</v>
      </c>
      <c r="J566" s="74">
        <v>0</v>
      </c>
      <c r="K566" s="74">
        <v>0</v>
      </c>
      <c r="L566" s="176" t="s">
        <v>50</v>
      </c>
      <c r="M566" s="169"/>
    </row>
    <row r="567" spans="1:13" ht="25.5" x14ac:dyDescent="0.25">
      <c r="A567" s="421" t="s">
        <v>143</v>
      </c>
      <c r="B567" s="426" t="s">
        <v>363</v>
      </c>
      <c r="C567" s="176"/>
      <c r="D567" s="178" t="s">
        <v>49</v>
      </c>
      <c r="E567" s="38">
        <f>E568+E569+E570</f>
        <v>0</v>
      </c>
      <c r="F567" s="38">
        <f t="shared" ref="F567:K567" si="193">F568+F569+F570</f>
        <v>200</v>
      </c>
      <c r="G567" s="38">
        <f t="shared" si="193"/>
        <v>100</v>
      </c>
      <c r="H567" s="38">
        <f t="shared" si="193"/>
        <v>0</v>
      </c>
      <c r="I567" s="38">
        <f t="shared" si="193"/>
        <v>0</v>
      </c>
      <c r="J567" s="38">
        <f t="shared" si="193"/>
        <v>0</v>
      </c>
      <c r="K567" s="38">
        <f t="shared" si="193"/>
        <v>100</v>
      </c>
      <c r="L567" s="39" t="s">
        <v>50</v>
      </c>
      <c r="M567" s="39"/>
    </row>
    <row r="568" spans="1:13" ht="38.25" x14ac:dyDescent="0.25">
      <c r="A568" s="422"/>
      <c r="B568" s="427"/>
      <c r="C568" s="176" t="s">
        <v>134</v>
      </c>
      <c r="D568" s="84" t="s">
        <v>132</v>
      </c>
      <c r="E568" s="74">
        <v>0</v>
      </c>
      <c r="F568" s="74">
        <f>G568+H568+I568+J568+K568</f>
        <v>200</v>
      </c>
      <c r="G568" s="74">
        <v>100</v>
      </c>
      <c r="H568" s="74">
        <f>100-100</f>
        <v>0</v>
      </c>
      <c r="I568" s="74">
        <v>0</v>
      </c>
      <c r="J568" s="74">
        <v>0</v>
      </c>
      <c r="K568" s="74">
        <v>100</v>
      </c>
      <c r="L568" s="176" t="s">
        <v>50</v>
      </c>
      <c r="M568" s="170"/>
    </row>
    <row r="569" spans="1:13" ht="38.25" x14ac:dyDescent="0.25">
      <c r="A569" s="422"/>
      <c r="B569" s="427"/>
      <c r="C569" s="176" t="s">
        <v>134</v>
      </c>
      <c r="D569" s="84" t="s">
        <v>133</v>
      </c>
      <c r="E569" s="74">
        <v>0</v>
      </c>
      <c r="F569" s="74">
        <f>G569+H569+I569+J569+K569</f>
        <v>0</v>
      </c>
      <c r="G569" s="74">
        <v>0</v>
      </c>
      <c r="H569" s="74">
        <v>0</v>
      </c>
      <c r="I569" s="74">
        <v>0</v>
      </c>
      <c r="J569" s="74">
        <v>0</v>
      </c>
      <c r="K569" s="74">
        <v>0</v>
      </c>
      <c r="L569" s="176" t="s">
        <v>50</v>
      </c>
      <c r="M569" s="170"/>
    </row>
    <row r="570" spans="1:13" ht="38.25" x14ac:dyDescent="0.25">
      <c r="A570" s="423"/>
      <c r="B570" s="428"/>
      <c r="C570" s="176" t="s">
        <v>134</v>
      </c>
      <c r="D570" s="84" t="s">
        <v>51</v>
      </c>
      <c r="E570" s="74">
        <v>0</v>
      </c>
      <c r="F570" s="74">
        <f>G570+H570+I570+J570+K570</f>
        <v>0</v>
      </c>
      <c r="G570" s="74">
        <v>0</v>
      </c>
      <c r="H570" s="74">
        <v>0</v>
      </c>
      <c r="I570" s="74">
        <v>0</v>
      </c>
      <c r="J570" s="74">
        <v>0</v>
      </c>
      <c r="K570" s="74">
        <v>0</v>
      </c>
      <c r="L570" s="176" t="s">
        <v>50</v>
      </c>
      <c r="M570" s="170"/>
    </row>
    <row r="571" spans="1:13" ht="25.5" customHeight="1" x14ac:dyDescent="0.25">
      <c r="A571" s="455" t="s">
        <v>144</v>
      </c>
      <c r="B571" s="348" t="s">
        <v>367</v>
      </c>
      <c r="C571" s="142"/>
      <c r="D571" s="85" t="s">
        <v>49</v>
      </c>
      <c r="E571" s="38">
        <f>E572+E573+E574</f>
        <v>0</v>
      </c>
      <c r="F571" s="38">
        <f t="shared" ref="F571:K571" si="194">F572+F573+F574</f>
        <v>2000</v>
      </c>
      <c r="G571" s="38">
        <f t="shared" si="194"/>
        <v>600</v>
      </c>
      <c r="H571" s="38">
        <f t="shared" si="194"/>
        <v>0</v>
      </c>
      <c r="I571" s="38">
        <f t="shared" si="194"/>
        <v>0</v>
      </c>
      <c r="J571" s="27">
        <f t="shared" si="194"/>
        <v>700</v>
      </c>
      <c r="K571" s="27">
        <f t="shared" si="194"/>
        <v>700</v>
      </c>
      <c r="L571" s="39" t="s">
        <v>50</v>
      </c>
      <c r="M571" s="39"/>
    </row>
    <row r="572" spans="1:13" ht="38.25" x14ac:dyDescent="0.25">
      <c r="A572" s="456"/>
      <c r="B572" s="349"/>
      <c r="C572" s="142" t="s">
        <v>134</v>
      </c>
      <c r="D572" s="84" t="s">
        <v>132</v>
      </c>
      <c r="E572" s="74">
        <v>0</v>
      </c>
      <c r="F572" s="74">
        <f>G572+H572+I572+J572+K572</f>
        <v>2000</v>
      </c>
      <c r="G572" s="74">
        <v>600</v>
      </c>
      <c r="H572" s="74">
        <f>600+2000-413.5-2186.5</f>
        <v>0</v>
      </c>
      <c r="I572" s="74">
        <v>0</v>
      </c>
      <c r="J572" s="81">
        <v>700</v>
      </c>
      <c r="K572" s="81">
        <v>700</v>
      </c>
      <c r="L572" s="143" t="s">
        <v>50</v>
      </c>
      <c r="M572" s="170"/>
    </row>
    <row r="573" spans="1:13" ht="38.25" x14ac:dyDescent="0.25">
      <c r="A573" s="456"/>
      <c r="B573" s="349"/>
      <c r="C573" s="142" t="s">
        <v>134</v>
      </c>
      <c r="D573" s="102" t="s">
        <v>133</v>
      </c>
      <c r="E573" s="74">
        <v>0</v>
      </c>
      <c r="F573" s="74">
        <f>G573+H573+I573+J573+K573</f>
        <v>0</v>
      </c>
      <c r="G573" s="74">
        <v>0</v>
      </c>
      <c r="H573" s="74">
        <v>0</v>
      </c>
      <c r="I573" s="74">
        <v>0</v>
      </c>
      <c r="J573" s="81">
        <v>0</v>
      </c>
      <c r="K573" s="81">
        <v>0</v>
      </c>
      <c r="L573" s="143" t="s">
        <v>50</v>
      </c>
      <c r="M573" s="170"/>
    </row>
    <row r="574" spans="1:13" ht="38.25" x14ac:dyDescent="0.25">
      <c r="A574" s="457"/>
      <c r="B574" s="350"/>
      <c r="C574" s="143" t="s">
        <v>134</v>
      </c>
      <c r="D574" s="84" t="s">
        <v>51</v>
      </c>
      <c r="E574" s="74">
        <v>0</v>
      </c>
      <c r="F574" s="74">
        <f>G574+H574+I574+J574+K574</f>
        <v>0</v>
      </c>
      <c r="G574" s="74">
        <v>0</v>
      </c>
      <c r="H574" s="74">
        <v>0</v>
      </c>
      <c r="I574" s="74">
        <v>0</v>
      </c>
      <c r="J574" s="74">
        <v>0</v>
      </c>
      <c r="K574" s="74">
        <v>0</v>
      </c>
      <c r="L574" s="143" t="s">
        <v>50</v>
      </c>
      <c r="M574" s="143"/>
    </row>
    <row r="575" spans="1:13" ht="25.5" x14ac:dyDescent="0.25">
      <c r="A575" s="455" t="s">
        <v>255</v>
      </c>
      <c r="B575" s="348" t="s">
        <v>314</v>
      </c>
      <c r="C575" s="207"/>
      <c r="D575" s="85" t="s">
        <v>49</v>
      </c>
      <c r="E575" s="38">
        <f>E576+E577+E578</f>
        <v>0</v>
      </c>
      <c r="F575" s="38">
        <f t="shared" ref="F575:K575" si="195">F576+F577+F578</f>
        <v>12.6</v>
      </c>
      <c r="G575" s="38">
        <f t="shared" si="195"/>
        <v>12.6</v>
      </c>
      <c r="H575" s="38">
        <f t="shared" si="195"/>
        <v>0</v>
      </c>
      <c r="I575" s="38">
        <f t="shared" si="195"/>
        <v>0</v>
      </c>
      <c r="J575" s="27">
        <f t="shared" si="195"/>
        <v>0</v>
      </c>
      <c r="K575" s="27">
        <f t="shared" si="195"/>
        <v>0</v>
      </c>
      <c r="L575" s="39" t="s">
        <v>50</v>
      </c>
      <c r="M575" s="39"/>
    </row>
    <row r="576" spans="1:13" ht="38.25" x14ac:dyDescent="0.25">
      <c r="A576" s="456"/>
      <c r="B576" s="349"/>
      <c r="C576" s="207" t="s">
        <v>134</v>
      </c>
      <c r="D576" s="102" t="s">
        <v>132</v>
      </c>
      <c r="E576" s="74">
        <v>0</v>
      </c>
      <c r="F576" s="74">
        <f>G576+H576+I576+J576+K576</f>
        <v>12.6</v>
      </c>
      <c r="G576" s="74">
        <v>12.6</v>
      </c>
      <c r="H576" s="74">
        <v>0</v>
      </c>
      <c r="I576" s="74">
        <v>0</v>
      </c>
      <c r="J576" s="81">
        <v>0</v>
      </c>
      <c r="K576" s="81">
        <v>0</v>
      </c>
      <c r="L576" s="208" t="s">
        <v>50</v>
      </c>
      <c r="M576" s="208"/>
    </row>
    <row r="577" spans="1:21" ht="38.25" x14ac:dyDescent="0.25">
      <c r="A577" s="456"/>
      <c r="B577" s="349"/>
      <c r="C577" s="207" t="s">
        <v>134</v>
      </c>
      <c r="D577" s="102" t="s">
        <v>133</v>
      </c>
      <c r="E577" s="74">
        <v>0</v>
      </c>
      <c r="F577" s="74">
        <f>G577+H577+I577+J577+K577</f>
        <v>0</v>
      </c>
      <c r="G577" s="74">
        <v>0</v>
      </c>
      <c r="H577" s="74">
        <v>0</v>
      </c>
      <c r="I577" s="74">
        <v>0</v>
      </c>
      <c r="J577" s="81">
        <v>0</v>
      </c>
      <c r="K577" s="81">
        <v>0</v>
      </c>
      <c r="L577" s="208" t="s">
        <v>50</v>
      </c>
      <c r="M577" s="208"/>
    </row>
    <row r="578" spans="1:21" ht="38.25" x14ac:dyDescent="0.25">
      <c r="A578" s="457"/>
      <c r="B578" s="350"/>
      <c r="C578" s="208" t="s">
        <v>134</v>
      </c>
      <c r="D578" s="84" t="s">
        <v>51</v>
      </c>
      <c r="E578" s="74">
        <v>0</v>
      </c>
      <c r="F578" s="74">
        <f>G578+H578+I578+J578+K578</f>
        <v>0</v>
      </c>
      <c r="G578" s="74">
        <v>0</v>
      </c>
      <c r="H578" s="74">
        <v>0</v>
      </c>
      <c r="I578" s="74">
        <v>0</v>
      </c>
      <c r="J578" s="74">
        <v>0</v>
      </c>
      <c r="K578" s="74">
        <v>0</v>
      </c>
      <c r="L578" s="208" t="s">
        <v>50</v>
      </c>
      <c r="M578" s="208"/>
    </row>
    <row r="579" spans="1:21" ht="25.5" x14ac:dyDescent="0.25">
      <c r="A579" s="455" t="s">
        <v>539</v>
      </c>
      <c r="B579" s="348" t="s">
        <v>267</v>
      </c>
      <c r="C579" s="263"/>
      <c r="D579" s="85" t="s">
        <v>49</v>
      </c>
      <c r="E579" s="38">
        <f>E580+E581+E582</f>
        <v>0</v>
      </c>
      <c r="F579" s="38">
        <f t="shared" ref="F579:K579" si="196">F580+F581+F582</f>
        <v>0.8</v>
      </c>
      <c r="G579" s="38">
        <f t="shared" si="196"/>
        <v>0</v>
      </c>
      <c r="H579" s="38">
        <f t="shared" si="196"/>
        <v>0.8</v>
      </c>
      <c r="I579" s="38">
        <f t="shared" si="196"/>
        <v>0</v>
      </c>
      <c r="J579" s="27">
        <f t="shared" si="196"/>
        <v>0</v>
      </c>
      <c r="K579" s="27">
        <f t="shared" si="196"/>
        <v>0</v>
      </c>
      <c r="L579" s="39" t="s">
        <v>50</v>
      </c>
      <c r="M579" s="39"/>
    </row>
    <row r="580" spans="1:21" ht="38.25" x14ac:dyDescent="0.25">
      <c r="A580" s="456"/>
      <c r="B580" s="349"/>
      <c r="C580" s="263" t="s">
        <v>134</v>
      </c>
      <c r="D580" s="84" t="s">
        <v>132</v>
      </c>
      <c r="E580" s="74">
        <v>0</v>
      </c>
      <c r="F580" s="74">
        <f>G580+H580+I580+J580+K580</f>
        <v>0.8</v>
      </c>
      <c r="G580" s="74">
        <v>0</v>
      </c>
      <c r="H580" s="281">
        <v>0.8</v>
      </c>
      <c r="I580" s="74">
        <v>0</v>
      </c>
      <c r="J580" s="74">
        <v>0</v>
      </c>
      <c r="K580" s="81">
        <v>0</v>
      </c>
      <c r="L580" s="264" t="s">
        <v>50</v>
      </c>
      <c r="M580" s="264"/>
    </row>
    <row r="581" spans="1:21" ht="38.25" x14ac:dyDescent="0.25">
      <c r="A581" s="456"/>
      <c r="B581" s="349"/>
      <c r="C581" s="263" t="s">
        <v>134</v>
      </c>
      <c r="D581" s="84" t="s">
        <v>133</v>
      </c>
      <c r="E581" s="74">
        <v>0</v>
      </c>
      <c r="F581" s="74">
        <f>G581+H581+I581+J581+K581</f>
        <v>0</v>
      </c>
      <c r="G581" s="74">
        <v>0</v>
      </c>
      <c r="H581" s="74">
        <v>0</v>
      </c>
      <c r="I581" s="74">
        <v>0</v>
      </c>
      <c r="J581" s="74">
        <v>0</v>
      </c>
      <c r="K581" s="81">
        <v>0</v>
      </c>
      <c r="L581" s="264" t="s">
        <v>50</v>
      </c>
      <c r="M581" s="264"/>
    </row>
    <row r="582" spans="1:21" ht="38.25" x14ac:dyDescent="0.25">
      <c r="A582" s="457"/>
      <c r="B582" s="350"/>
      <c r="C582" s="264" t="s">
        <v>134</v>
      </c>
      <c r="D582" s="84" t="s">
        <v>51</v>
      </c>
      <c r="E582" s="74">
        <v>0</v>
      </c>
      <c r="F582" s="74">
        <f>G582+H582+I582+J582+K582</f>
        <v>0</v>
      </c>
      <c r="G582" s="74">
        <v>0</v>
      </c>
      <c r="H582" s="74">
        <v>0</v>
      </c>
      <c r="I582" s="74">
        <v>0</v>
      </c>
      <c r="J582" s="74">
        <v>0</v>
      </c>
      <c r="K582" s="74">
        <v>0</v>
      </c>
      <c r="L582" s="264" t="s">
        <v>50</v>
      </c>
      <c r="M582" s="264"/>
    </row>
    <row r="583" spans="1:21" ht="27.75" customHeight="1" x14ac:dyDescent="0.25">
      <c r="A583" s="474" t="s">
        <v>52</v>
      </c>
      <c r="B583" s="475"/>
      <c r="C583" s="95"/>
      <c r="D583" s="32" t="s">
        <v>53</v>
      </c>
      <c r="E583" s="60">
        <f t="shared" ref="E583:K583" si="197">E584+E585+E586</f>
        <v>0</v>
      </c>
      <c r="F583" s="60">
        <f t="shared" si="197"/>
        <v>35359.920000000006</v>
      </c>
      <c r="G583" s="60">
        <f t="shared" si="197"/>
        <v>7279.420000000001</v>
      </c>
      <c r="H583" s="60">
        <f t="shared" si="197"/>
        <v>7052.4</v>
      </c>
      <c r="I583" s="60">
        <f t="shared" si="197"/>
        <v>6393.6</v>
      </c>
      <c r="J583" s="60">
        <f t="shared" si="197"/>
        <v>7314.9000000000005</v>
      </c>
      <c r="K583" s="60">
        <f t="shared" si="197"/>
        <v>7319.6</v>
      </c>
      <c r="L583" s="32"/>
      <c r="M583" s="32"/>
    </row>
    <row r="584" spans="1:21" ht="38.25" x14ac:dyDescent="0.25">
      <c r="A584" s="476"/>
      <c r="B584" s="477"/>
      <c r="C584" s="95"/>
      <c r="D584" s="32" t="s">
        <v>132</v>
      </c>
      <c r="E584" s="48">
        <f t="shared" ref="E584:K586" si="198">E540</f>
        <v>0</v>
      </c>
      <c r="F584" s="48">
        <f t="shared" si="198"/>
        <v>35359.920000000006</v>
      </c>
      <c r="G584" s="48">
        <f t="shared" si="198"/>
        <v>7279.420000000001</v>
      </c>
      <c r="H584" s="48">
        <f t="shared" si="198"/>
        <v>7052.4</v>
      </c>
      <c r="I584" s="48">
        <f t="shared" si="198"/>
        <v>6393.6</v>
      </c>
      <c r="J584" s="48">
        <f t="shared" si="198"/>
        <v>7314.9000000000005</v>
      </c>
      <c r="K584" s="48">
        <f t="shared" si="198"/>
        <v>7319.6</v>
      </c>
      <c r="L584" s="32"/>
      <c r="M584" s="32"/>
      <c r="N584" s="17"/>
    </row>
    <row r="585" spans="1:21" ht="40.5" customHeight="1" x14ac:dyDescent="0.25">
      <c r="A585" s="476"/>
      <c r="B585" s="477"/>
      <c r="C585" s="95"/>
      <c r="D585" s="42" t="s">
        <v>14</v>
      </c>
      <c r="E585" s="61">
        <f t="shared" si="198"/>
        <v>0</v>
      </c>
      <c r="F585" s="61">
        <f t="shared" si="198"/>
        <v>0</v>
      </c>
      <c r="G585" s="61">
        <f t="shared" si="198"/>
        <v>0</v>
      </c>
      <c r="H585" s="61">
        <f t="shared" si="198"/>
        <v>0</v>
      </c>
      <c r="I585" s="61">
        <f t="shared" si="198"/>
        <v>0</v>
      </c>
      <c r="J585" s="61">
        <f t="shared" si="198"/>
        <v>0</v>
      </c>
      <c r="K585" s="61">
        <f t="shared" si="198"/>
        <v>0</v>
      </c>
      <c r="L585" s="42"/>
      <c r="M585" s="42"/>
    </row>
    <row r="586" spans="1:21" ht="44.25" customHeight="1" x14ac:dyDescent="0.25">
      <c r="A586" s="478"/>
      <c r="B586" s="479"/>
      <c r="C586" s="95"/>
      <c r="D586" s="45" t="s">
        <v>51</v>
      </c>
      <c r="E586" s="47">
        <f t="shared" si="198"/>
        <v>0</v>
      </c>
      <c r="F586" s="47">
        <f t="shared" si="198"/>
        <v>0</v>
      </c>
      <c r="G586" s="47">
        <f t="shared" si="198"/>
        <v>0</v>
      </c>
      <c r="H586" s="47">
        <f t="shared" si="198"/>
        <v>0</v>
      </c>
      <c r="I586" s="47">
        <f t="shared" si="198"/>
        <v>0</v>
      </c>
      <c r="J586" s="47">
        <f t="shared" si="198"/>
        <v>0</v>
      </c>
      <c r="K586" s="47">
        <f t="shared" si="198"/>
        <v>0</v>
      </c>
      <c r="L586" s="45"/>
      <c r="M586" s="45"/>
    </row>
    <row r="587" spans="1:21" ht="30.75" customHeight="1" x14ac:dyDescent="0.25">
      <c r="A587" s="296" t="s">
        <v>170</v>
      </c>
      <c r="B587" s="296"/>
      <c r="C587" s="95"/>
      <c r="D587" s="163" t="s">
        <v>53</v>
      </c>
      <c r="E587" s="60">
        <f>E24+E125+E214+E327+E404+E469+E583</f>
        <v>0</v>
      </c>
      <c r="F587" s="60">
        <f t="shared" ref="F587:K587" si="199">F588+F589+F590</f>
        <v>1498963.0899999999</v>
      </c>
      <c r="G587" s="60">
        <f t="shared" si="199"/>
        <v>277424.69</v>
      </c>
      <c r="H587" s="60">
        <f t="shared" si="199"/>
        <v>256352.4</v>
      </c>
      <c r="I587" s="60">
        <f t="shared" si="199"/>
        <v>316321.09999999998</v>
      </c>
      <c r="J587" s="60">
        <f t="shared" si="199"/>
        <v>385649.10000000009</v>
      </c>
      <c r="K587" s="60">
        <f t="shared" si="199"/>
        <v>263215.80000000005</v>
      </c>
      <c r="L587" s="60"/>
      <c r="M587" s="60"/>
    </row>
    <row r="588" spans="1:21" ht="78.75" x14ac:dyDescent="0.25">
      <c r="A588" s="296"/>
      <c r="B588" s="296"/>
      <c r="C588" s="95"/>
      <c r="D588" s="163" t="s">
        <v>132</v>
      </c>
      <c r="E588" s="60">
        <f>E25+E126+E215+E328+E405+E470+E535+E584</f>
        <v>8346.2999999999993</v>
      </c>
      <c r="F588" s="60">
        <f>F25+F126+F215+F328+F405+F470+F535+F584</f>
        <v>1255418.3899999999</v>
      </c>
      <c r="G588" s="60">
        <f>G25+G126+G215+G328+G405+G470+G535+G584</f>
        <v>236815.49</v>
      </c>
      <c r="H588" s="60">
        <f>H25+H126+H215+H328+H405+H470+H535+H584</f>
        <v>253009.9</v>
      </c>
      <c r="I588" s="60">
        <f>I25+I126+I215+I328+I405+I470+I535+I584</f>
        <v>248726.09999999998</v>
      </c>
      <c r="J588" s="60">
        <f>J25+J126+J215+J328+J405+J470+J535+J584</f>
        <v>253651.10000000006</v>
      </c>
      <c r="K588" s="60">
        <f>K25+K126+K215+K328+K405+K470+K535+K584</f>
        <v>263215.80000000005</v>
      </c>
      <c r="L588" s="105"/>
      <c r="M588" s="105"/>
      <c r="N588" s="174"/>
      <c r="O588" s="17"/>
      <c r="P588" s="17"/>
      <c r="Q588" s="17"/>
      <c r="R588" s="17"/>
      <c r="S588" s="17"/>
      <c r="T588" s="17"/>
      <c r="U588" s="17"/>
    </row>
    <row r="589" spans="1:21" ht="63" x14ac:dyDescent="0.25">
      <c r="A589" s="296"/>
      <c r="B589" s="296"/>
      <c r="C589" s="95"/>
      <c r="D589" s="164" t="s">
        <v>14</v>
      </c>
      <c r="E589" s="61">
        <f>E26+E127+E216+E329+E406+E471+E536+E585</f>
        <v>0</v>
      </c>
      <c r="F589" s="61">
        <f>F26+F127+F216+F329+F406+F471+F536+F585</f>
        <v>243544.7</v>
      </c>
      <c r="G589" s="61">
        <f>G26+G127+G216+G329+G406+G471+G536+G585</f>
        <v>40609.199999999997</v>
      </c>
      <c r="H589" s="61">
        <f>H26+H127+H216+H329+H406+H471+H536+H585</f>
        <v>3342.5</v>
      </c>
      <c r="I589" s="61">
        <f>I26+I127+I216+I329+I406+I471+I536+I585</f>
        <v>67595</v>
      </c>
      <c r="J589" s="61">
        <f>J26+J127+J216+J329+J406+J471+J536+J585</f>
        <v>131998</v>
      </c>
      <c r="K589" s="61">
        <f>K26+K127+K216+K329+K406+K471+K536+K585</f>
        <v>0</v>
      </c>
      <c r="L589" s="61"/>
      <c r="M589" s="61"/>
    </row>
    <row r="590" spans="1:21" ht="44.25" customHeight="1" x14ac:dyDescent="0.25">
      <c r="A590" s="296"/>
      <c r="B590" s="296"/>
      <c r="C590" s="95"/>
      <c r="D590" s="165" t="s">
        <v>15</v>
      </c>
      <c r="E590" s="47">
        <f>E27+E128+E217+E330+E407+E472+E537+E586</f>
        <v>0</v>
      </c>
      <c r="F590" s="47">
        <f>F27+F128+F217+F330+F407+F472+F537+F586</f>
        <v>0</v>
      </c>
      <c r="G590" s="47">
        <f>G27+G128+G217+G330+G407+G472+G537+G586</f>
        <v>0</v>
      </c>
      <c r="H590" s="47">
        <f>H27+H128+H217+H330+H407+H472+H537+H586</f>
        <v>0</v>
      </c>
      <c r="I590" s="47">
        <f>I27+I128+I217+I330+I407+I472+I537+I586</f>
        <v>0</v>
      </c>
      <c r="J590" s="47">
        <f>J27+J128+J217+J330+J407+J472+J537+J586</f>
        <v>0</v>
      </c>
      <c r="K590" s="47">
        <f>K27+K128+K217+K330+K407+K472+K537+K586</f>
        <v>0</v>
      </c>
      <c r="L590" s="106"/>
      <c r="M590" s="106"/>
    </row>
    <row r="591" spans="1:21" x14ac:dyDescent="0.25">
      <c r="A591" s="15"/>
      <c r="B591" s="15"/>
      <c r="C591" s="15"/>
      <c r="D591" s="161" t="s">
        <v>253</v>
      </c>
      <c r="E591" s="161"/>
      <c r="F591" s="162">
        <f>F25+F126+F215+F328+F470+F584</f>
        <v>1216498.99</v>
      </c>
      <c r="G591" s="162">
        <f>G25+G126+G215+G328+G470+G584</f>
        <v>223904.49</v>
      </c>
      <c r="H591" s="162">
        <f>H25+H126+H215+H328+H470+H584</f>
        <v>246346.6</v>
      </c>
      <c r="I591" s="162">
        <f>I25+I126+I215+I328+I470+I584</f>
        <v>241871.8</v>
      </c>
      <c r="J591" s="162">
        <f>J25+J126+J215+J328+J470+J584</f>
        <v>246789.40000000005</v>
      </c>
      <c r="K591" s="162">
        <f>K25+K126+K215+K328+K470+K584</f>
        <v>257586.70000000004</v>
      </c>
      <c r="L591" s="15"/>
      <c r="M591" s="15"/>
      <c r="N591" s="15"/>
      <c r="O591" s="15"/>
    </row>
    <row r="592" spans="1:21" x14ac:dyDescent="0.25">
      <c r="F592" s="17"/>
    </row>
  </sheetData>
  <mergeCells count="340">
    <mergeCell ref="A417:A420"/>
    <mergeCell ref="B417:B420"/>
    <mergeCell ref="M414:M415"/>
    <mergeCell ref="A579:A582"/>
    <mergeCell ref="B579:B582"/>
    <mergeCell ref="B279:B282"/>
    <mergeCell ref="B299:B302"/>
    <mergeCell ref="A303:A306"/>
    <mergeCell ref="A295:A298"/>
    <mergeCell ref="A299:A302"/>
    <mergeCell ref="A323:A326"/>
    <mergeCell ref="B323:B326"/>
    <mergeCell ref="A352:A355"/>
    <mergeCell ref="B331:M331"/>
    <mergeCell ref="A332:A335"/>
    <mergeCell ref="M299:M302"/>
    <mergeCell ref="A348:A351"/>
    <mergeCell ref="B348:B351"/>
    <mergeCell ref="B352:B355"/>
    <mergeCell ref="B311:B314"/>
    <mergeCell ref="B307:B310"/>
    <mergeCell ref="A319:A322"/>
    <mergeCell ref="B319:B322"/>
    <mergeCell ref="A327:B330"/>
    <mergeCell ref="B332:B335"/>
    <mergeCell ref="A514:A517"/>
    <mergeCell ref="A425:A428"/>
    <mergeCell ref="B445:B448"/>
    <mergeCell ref="A469:B472"/>
    <mergeCell ref="A413:A416"/>
    <mergeCell ref="B360:B363"/>
    <mergeCell ref="A360:A363"/>
    <mergeCell ref="A344:A347"/>
    <mergeCell ref="B344:B347"/>
    <mergeCell ref="A356:A359"/>
    <mergeCell ref="A376:A379"/>
    <mergeCell ref="B376:B379"/>
    <mergeCell ref="A364:A367"/>
    <mergeCell ref="B364:B367"/>
    <mergeCell ref="A368:A371"/>
    <mergeCell ref="B368:B371"/>
    <mergeCell ref="A380:A383"/>
    <mergeCell ref="B380:B383"/>
    <mergeCell ref="A372:A375"/>
    <mergeCell ref="B372:B375"/>
    <mergeCell ref="B413:B416"/>
    <mergeCell ref="A429:A432"/>
    <mergeCell ref="B429:B432"/>
    <mergeCell ref="A433:A436"/>
    <mergeCell ref="B433:B436"/>
    <mergeCell ref="A388:A391"/>
    <mergeCell ref="B551:B554"/>
    <mergeCell ref="B575:B578"/>
    <mergeCell ref="A498:A501"/>
    <mergeCell ref="B498:B501"/>
    <mergeCell ref="A494:A497"/>
    <mergeCell ref="A547:A550"/>
    <mergeCell ref="B547:B550"/>
    <mergeCell ref="B530:B533"/>
    <mergeCell ref="A534:B537"/>
    <mergeCell ref="B494:B497"/>
    <mergeCell ref="A551:A554"/>
    <mergeCell ref="A538:M538"/>
    <mergeCell ref="B522:B525"/>
    <mergeCell ref="A526:A529"/>
    <mergeCell ref="B526:B529"/>
    <mergeCell ref="A510:A513"/>
    <mergeCell ref="A522:A525"/>
    <mergeCell ref="B514:B517"/>
    <mergeCell ref="B518:B521"/>
    <mergeCell ref="B510:B513"/>
    <mergeCell ref="C526:C529"/>
    <mergeCell ref="C502:C505"/>
    <mergeCell ref="B506:B509"/>
    <mergeCell ref="B543:B546"/>
    <mergeCell ref="A587:B590"/>
    <mergeCell ref="A583:B586"/>
    <mergeCell ref="B555:B558"/>
    <mergeCell ref="B559:B562"/>
    <mergeCell ref="A555:A558"/>
    <mergeCell ref="A559:A562"/>
    <mergeCell ref="A575:A578"/>
    <mergeCell ref="B486:B489"/>
    <mergeCell ref="A571:A574"/>
    <mergeCell ref="B571:B574"/>
    <mergeCell ref="A530:A533"/>
    <mergeCell ref="A543:A546"/>
    <mergeCell ref="A563:A566"/>
    <mergeCell ref="B563:B566"/>
    <mergeCell ref="A567:A570"/>
    <mergeCell ref="B567:B570"/>
    <mergeCell ref="A539:A542"/>
    <mergeCell ref="B539:B542"/>
    <mergeCell ref="A518:A521"/>
    <mergeCell ref="A506:A509"/>
    <mergeCell ref="A461:A464"/>
    <mergeCell ref="B461:B464"/>
    <mergeCell ref="A465:A468"/>
    <mergeCell ref="B465:B468"/>
    <mergeCell ref="A404:B407"/>
    <mergeCell ref="B408:M408"/>
    <mergeCell ref="A340:A343"/>
    <mergeCell ref="A311:A314"/>
    <mergeCell ref="A93:A96"/>
    <mergeCell ref="B93:B96"/>
    <mergeCell ref="A97:A100"/>
    <mergeCell ref="B97:B100"/>
    <mergeCell ref="A101:A104"/>
    <mergeCell ref="B101:B104"/>
    <mergeCell ref="A105:A108"/>
    <mergeCell ref="B105:B108"/>
    <mergeCell ref="B356:B359"/>
    <mergeCell ref="A336:A339"/>
    <mergeCell ref="B336:B339"/>
    <mergeCell ref="B267:B270"/>
    <mergeCell ref="B251:B254"/>
    <mergeCell ref="B263:B266"/>
    <mergeCell ref="B291:B294"/>
    <mergeCell ref="A396:A399"/>
    <mergeCell ref="B396:B399"/>
    <mergeCell ref="B388:B391"/>
    <mergeCell ref="M267:M270"/>
    <mergeCell ref="A271:A274"/>
    <mergeCell ref="N8:N9"/>
    <mergeCell ref="B29:B32"/>
    <mergeCell ref="A29:A32"/>
    <mergeCell ref="B33:B36"/>
    <mergeCell ref="A37:A40"/>
    <mergeCell ref="B37:B40"/>
    <mergeCell ref="A89:A92"/>
    <mergeCell ref="B89:B92"/>
    <mergeCell ref="A33:A36"/>
    <mergeCell ref="M37:M40"/>
    <mergeCell ref="A45:A48"/>
    <mergeCell ref="B45:B48"/>
    <mergeCell ref="M45:M48"/>
    <mergeCell ref="A41:A44"/>
    <mergeCell ref="B41:B44"/>
    <mergeCell ref="A49:A52"/>
    <mergeCell ref="B49:B52"/>
    <mergeCell ref="A53:A56"/>
    <mergeCell ref="M61:M64"/>
    <mergeCell ref="B73:B76"/>
    <mergeCell ref="A77:A80"/>
    <mergeCell ref="B77:B80"/>
    <mergeCell ref="A421:A424"/>
    <mergeCell ref="B453:B456"/>
    <mergeCell ref="B478:B481"/>
    <mergeCell ref="A482:A485"/>
    <mergeCell ref="B482:B485"/>
    <mergeCell ref="A486:A489"/>
    <mergeCell ref="B502:B505"/>
    <mergeCell ref="A437:A440"/>
    <mergeCell ref="A490:A493"/>
    <mergeCell ref="B490:B493"/>
    <mergeCell ref="A478:A481"/>
    <mergeCell ref="A441:A444"/>
    <mergeCell ref="B441:B444"/>
    <mergeCell ref="A473:M473"/>
    <mergeCell ref="A474:A477"/>
    <mergeCell ref="B474:B477"/>
    <mergeCell ref="A449:A452"/>
    <mergeCell ref="B449:B452"/>
    <mergeCell ref="B425:B428"/>
    <mergeCell ref="A453:A456"/>
    <mergeCell ref="A502:A505"/>
    <mergeCell ref="B421:B424"/>
    <mergeCell ref="A445:A448"/>
    <mergeCell ref="B437:B440"/>
    <mergeCell ref="A409:A412"/>
    <mergeCell ref="B409:B412"/>
    <mergeCell ref="A384:A387"/>
    <mergeCell ref="B384:B387"/>
    <mergeCell ref="A392:A395"/>
    <mergeCell ref="B392:B395"/>
    <mergeCell ref="M49:M52"/>
    <mergeCell ref="B138:B141"/>
    <mergeCell ref="M247:M250"/>
    <mergeCell ref="A291:A294"/>
    <mergeCell ref="B303:B306"/>
    <mergeCell ref="A307:A310"/>
    <mergeCell ref="B295:B298"/>
    <mergeCell ref="B340:B343"/>
    <mergeCell ref="B315:B318"/>
    <mergeCell ref="A315:A318"/>
    <mergeCell ref="M251:M254"/>
    <mergeCell ref="A259:A262"/>
    <mergeCell ref="B259:B262"/>
    <mergeCell ref="M255:M258"/>
    <mergeCell ref="M275:M278"/>
    <mergeCell ref="A275:A278"/>
    <mergeCell ref="B275:B278"/>
    <mergeCell ref="A267:A270"/>
    <mergeCell ref="B271:B274"/>
    <mergeCell ref="M271:M274"/>
    <mergeCell ref="M259:M262"/>
    <mergeCell ref="A263:A266"/>
    <mergeCell ref="A1:M1"/>
    <mergeCell ref="A2:M2"/>
    <mergeCell ref="A3:M3"/>
    <mergeCell ref="A5:M5"/>
    <mergeCell ref="A6:M6"/>
    <mergeCell ref="A28:M28"/>
    <mergeCell ref="A16:A19"/>
    <mergeCell ref="B16:B19"/>
    <mergeCell ref="A20:A23"/>
    <mergeCell ref="B20:B23"/>
    <mergeCell ref="A8:A9"/>
    <mergeCell ref="B8:B9"/>
    <mergeCell ref="C8:C9"/>
    <mergeCell ref="M8:M9"/>
    <mergeCell ref="D8:D9"/>
    <mergeCell ref="E8:E9"/>
    <mergeCell ref="F8:F9"/>
    <mergeCell ref="M263:M266"/>
    <mergeCell ref="A247:A250"/>
    <mergeCell ref="A146:A149"/>
    <mergeCell ref="M158:M161"/>
    <mergeCell ref="A178:A181"/>
    <mergeCell ref="M227:M229"/>
    <mergeCell ref="M174:M177"/>
    <mergeCell ref="M178:M181"/>
    <mergeCell ref="M162:M165"/>
    <mergeCell ref="M198:M201"/>
    <mergeCell ref="M170:M173"/>
    <mergeCell ref="B154:B157"/>
    <mergeCell ref="B178:B181"/>
    <mergeCell ref="A219:A222"/>
    <mergeCell ref="B158:B161"/>
    <mergeCell ref="A166:A169"/>
    <mergeCell ref="B166:B169"/>
    <mergeCell ref="B194:B197"/>
    <mergeCell ref="A142:A145"/>
    <mergeCell ref="M77:M80"/>
    <mergeCell ref="B174:B177"/>
    <mergeCell ref="G8:K8"/>
    <mergeCell ref="L8:L9"/>
    <mergeCell ref="A11:M11"/>
    <mergeCell ref="A12:A15"/>
    <mergeCell ref="B12:B15"/>
    <mergeCell ref="A24:B27"/>
    <mergeCell ref="B53:B56"/>
    <mergeCell ref="M53:M56"/>
    <mergeCell ref="A85:A88"/>
    <mergeCell ref="B85:B88"/>
    <mergeCell ref="M57:M60"/>
    <mergeCell ref="A57:A60"/>
    <mergeCell ref="A125:B128"/>
    <mergeCell ref="B57:B60"/>
    <mergeCell ref="A73:A76"/>
    <mergeCell ref="B146:B149"/>
    <mergeCell ref="A150:A153"/>
    <mergeCell ref="B113:B116"/>
    <mergeCell ref="M113:M116"/>
    <mergeCell ref="A117:A120"/>
    <mergeCell ref="B117:B120"/>
    <mergeCell ref="B134:B137"/>
    <mergeCell ref="A129:M129"/>
    <mergeCell ref="A109:A112"/>
    <mergeCell ref="B109:B112"/>
    <mergeCell ref="A61:A64"/>
    <mergeCell ref="B61:B64"/>
    <mergeCell ref="A65:A68"/>
    <mergeCell ref="B65:B68"/>
    <mergeCell ref="M65:M68"/>
    <mergeCell ref="M117:M120"/>
    <mergeCell ref="A69:A72"/>
    <mergeCell ref="B69:B72"/>
    <mergeCell ref="B255:B258"/>
    <mergeCell ref="B223:B226"/>
    <mergeCell ref="A198:A201"/>
    <mergeCell ref="M69:M72"/>
    <mergeCell ref="M73:M76"/>
    <mergeCell ref="B81:B84"/>
    <mergeCell ref="M81:M84"/>
    <mergeCell ref="A113:A116"/>
    <mergeCell ref="A121:A124"/>
    <mergeCell ref="B121:B124"/>
    <mergeCell ref="M121:M124"/>
    <mergeCell ref="M235:M238"/>
    <mergeCell ref="A239:A242"/>
    <mergeCell ref="B239:B242"/>
    <mergeCell ref="M239:M242"/>
    <mergeCell ref="M243:M246"/>
    <mergeCell ref="A243:A246"/>
    <mergeCell ref="B243:B246"/>
    <mergeCell ref="A210:A213"/>
    <mergeCell ref="A235:A238"/>
    <mergeCell ref="B198:B201"/>
    <mergeCell ref="B130:B133"/>
    <mergeCell ref="A130:A133"/>
    <mergeCell ref="A134:A137"/>
    <mergeCell ref="M283:M286"/>
    <mergeCell ref="A283:A286"/>
    <mergeCell ref="M150:M153"/>
    <mergeCell ref="M154:M157"/>
    <mergeCell ref="A162:A165"/>
    <mergeCell ref="M146:M149"/>
    <mergeCell ref="A158:A161"/>
    <mergeCell ref="A138:A141"/>
    <mergeCell ref="A227:A230"/>
    <mergeCell ref="B227:B230"/>
    <mergeCell ref="B186:B189"/>
    <mergeCell ref="A190:A193"/>
    <mergeCell ref="B190:B193"/>
    <mergeCell ref="A206:A209"/>
    <mergeCell ref="B206:B209"/>
    <mergeCell ref="A186:A189"/>
    <mergeCell ref="A202:A205"/>
    <mergeCell ref="B202:B205"/>
    <mergeCell ref="A194:A197"/>
    <mergeCell ref="A214:B217"/>
    <mergeCell ref="B247:B250"/>
    <mergeCell ref="B210:B213"/>
    <mergeCell ref="A251:A254"/>
    <mergeCell ref="B235:B238"/>
    <mergeCell ref="A400:A403"/>
    <mergeCell ref="B400:B403"/>
    <mergeCell ref="A457:A460"/>
    <mergeCell ref="B457:B460"/>
    <mergeCell ref="B142:B145"/>
    <mergeCell ref="A154:A157"/>
    <mergeCell ref="B283:B286"/>
    <mergeCell ref="B287:B290"/>
    <mergeCell ref="A279:A282"/>
    <mergeCell ref="A218:M218"/>
    <mergeCell ref="B182:B185"/>
    <mergeCell ref="M182:M185"/>
    <mergeCell ref="B219:B222"/>
    <mergeCell ref="M166:M169"/>
    <mergeCell ref="A170:A173"/>
    <mergeCell ref="B170:B173"/>
    <mergeCell ref="B162:B165"/>
    <mergeCell ref="A223:A226"/>
    <mergeCell ref="A174:A177"/>
    <mergeCell ref="B150:B153"/>
    <mergeCell ref="A287:A290"/>
    <mergeCell ref="A231:A234"/>
    <mergeCell ref="B231:B234"/>
    <mergeCell ref="A255:A258"/>
  </mergeCells>
  <pageMargins left="0.9055118110236221" right="0.51181102362204722" top="0.74803149606299213" bottom="0.74803149606299213" header="0.31496062992125984" footer="0.31496062992125984"/>
  <pageSetup paperSize="9" scale="69" orientation="landscape" r:id="rId1"/>
  <rowBreaks count="4" manualBreakCount="4">
    <brk id="303" max="12" man="1"/>
    <brk id="415" max="12" man="1"/>
    <brk id="468" max="12" man="1"/>
    <brk id="564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4"/>
  <sheetViews>
    <sheetView view="pageBreakPreview" zoomScale="110" zoomScaleNormal="120" zoomScaleSheetLayoutView="110" workbookViewId="0">
      <selection sqref="A1:N20"/>
    </sheetView>
  </sheetViews>
  <sheetFormatPr defaultRowHeight="15" x14ac:dyDescent="0.25"/>
  <cols>
    <col min="1" max="1" width="4.85546875" customWidth="1"/>
    <col min="2" max="2" width="24.7109375" customWidth="1"/>
    <col min="3" max="3" width="13" customWidth="1"/>
    <col min="4" max="4" width="13.85546875" customWidth="1"/>
    <col min="5" max="5" width="11.85546875" customWidth="1"/>
    <col min="6" max="6" width="12.7109375" customWidth="1"/>
    <col min="7" max="7" width="22.7109375" customWidth="1"/>
    <col min="8" max="8" width="11.85546875" customWidth="1"/>
    <col min="9" max="9" width="12.42578125" customWidth="1"/>
    <col min="10" max="10" width="11.85546875" customWidth="1"/>
    <col min="11" max="11" width="12.5703125" customWidth="1"/>
    <col min="12" max="12" width="12.5703125" style="278" customWidth="1"/>
    <col min="13" max="13" width="13.85546875" customWidth="1"/>
    <col min="14" max="14" width="14.85546875" customWidth="1"/>
  </cols>
  <sheetData>
    <row r="1" spans="1:14" x14ac:dyDescent="0.25">
      <c r="A1" s="451" t="s">
        <v>563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</row>
    <row r="2" spans="1:14" x14ac:dyDescent="0.25">
      <c r="A2" s="452" t="s">
        <v>180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</row>
    <row r="3" spans="1:14" ht="15.75" x14ac:dyDescent="0.25">
      <c r="A3" s="451" t="s">
        <v>173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14" x14ac:dyDescent="0.25">
      <c r="A4" s="242"/>
    </row>
    <row r="5" spans="1:14" ht="33.75" customHeight="1" x14ac:dyDescent="0.25">
      <c r="A5" s="508" t="s">
        <v>353</v>
      </c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 ht="10.5" customHeight="1" x14ac:dyDescent="0.25">
      <c r="A6" s="18"/>
    </row>
    <row r="7" spans="1:14" x14ac:dyDescent="0.25">
      <c r="A7" s="509" t="s">
        <v>261</v>
      </c>
      <c r="B7" s="509"/>
      <c r="C7" s="509"/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09"/>
    </row>
    <row r="8" spans="1:14" x14ac:dyDescent="0.25">
      <c r="A8" s="510" t="s">
        <v>229</v>
      </c>
      <c r="B8" s="510"/>
      <c r="C8" s="510"/>
      <c r="D8" s="510"/>
      <c r="E8" s="510"/>
      <c r="F8" s="510"/>
      <c r="G8" s="510"/>
      <c r="H8" s="510"/>
      <c r="I8" s="510"/>
      <c r="J8" s="510"/>
      <c r="K8" s="510"/>
      <c r="L8" s="510"/>
      <c r="M8" s="510"/>
      <c r="N8" s="510"/>
    </row>
    <row r="9" spans="1:14" x14ac:dyDescent="0.25">
      <c r="A9" s="506" t="s">
        <v>230</v>
      </c>
      <c r="B9" s="506"/>
      <c r="C9" s="506"/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6"/>
    </row>
    <row r="10" spans="1:14" x14ac:dyDescent="0.25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95"/>
      <c r="M10" s="243"/>
      <c r="N10" s="243"/>
    </row>
    <row r="11" spans="1:14" ht="15" customHeight="1" x14ac:dyDescent="0.25">
      <c r="A11" s="511" t="s">
        <v>0</v>
      </c>
      <c r="B11" s="511" t="s">
        <v>231</v>
      </c>
      <c r="C11" s="511" t="s">
        <v>232</v>
      </c>
      <c r="D11" s="511" t="s">
        <v>233</v>
      </c>
      <c r="E11" s="511" t="s">
        <v>73</v>
      </c>
      <c r="F11" s="514" t="s">
        <v>234</v>
      </c>
      <c r="G11" s="511" t="s">
        <v>74</v>
      </c>
      <c r="H11" s="527" t="s">
        <v>75</v>
      </c>
      <c r="I11" s="528"/>
      <c r="J11" s="528"/>
      <c r="K11" s="528"/>
      <c r="L11" s="529"/>
      <c r="M11" s="511" t="s">
        <v>76</v>
      </c>
      <c r="N11" s="511" t="s">
        <v>235</v>
      </c>
    </row>
    <row r="12" spans="1:14" ht="80.25" customHeight="1" x14ac:dyDescent="0.25">
      <c r="A12" s="512"/>
      <c r="B12" s="512"/>
      <c r="C12" s="512"/>
      <c r="D12" s="512"/>
      <c r="E12" s="512"/>
      <c r="F12" s="515"/>
      <c r="G12" s="512"/>
      <c r="H12" s="244" t="s">
        <v>40</v>
      </c>
      <c r="I12" s="244" t="s">
        <v>244</v>
      </c>
      <c r="J12" s="244" t="s">
        <v>6</v>
      </c>
      <c r="K12" s="244" t="s">
        <v>104</v>
      </c>
      <c r="L12" s="294" t="s">
        <v>105</v>
      </c>
      <c r="M12" s="512"/>
      <c r="N12" s="512"/>
    </row>
    <row r="13" spans="1:14" x14ac:dyDescent="0.25">
      <c r="A13" s="240">
        <v>1</v>
      </c>
      <c r="B13" s="240">
        <v>2</v>
      </c>
      <c r="C13" s="240">
        <v>3</v>
      </c>
      <c r="D13" s="240">
        <v>4</v>
      </c>
      <c r="E13" s="240">
        <v>5</v>
      </c>
      <c r="F13" s="240">
        <v>6</v>
      </c>
      <c r="G13" s="240">
        <v>7</v>
      </c>
      <c r="H13" s="240">
        <v>8</v>
      </c>
      <c r="I13" s="240">
        <v>10</v>
      </c>
      <c r="J13" s="240">
        <v>11</v>
      </c>
      <c r="K13" s="240">
        <v>12</v>
      </c>
      <c r="L13" s="292">
        <v>13</v>
      </c>
      <c r="M13" s="240">
        <v>14</v>
      </c>
      <c r="N13" s="240">
        <v>15</v>
      </c>
    </row>
    <row r="14" spans="1:14" ht="15" customHeight="1" x14ac:dyDescent="0.25">
      <c r="A14" s="421" t="s">
        <v>78</v>
      </c>
      <c r="B14" s="513" t="s">
        <v>564</v>
      </c>
      <c r="C14" s="329" t="s">
        <v>620</v>
      </c>
      <c r="D14" s="329" t="s">
        <v>243</v>
      </c>
      <c r="E14" s="151">
        <f>H14</f>
        <v>75924.990000000005</v>
      </c>
      <c r="F14" s="241"/>
      <c r="G14" s="39" t="s">
        <v>11</v>
      </c>
      <c r="H14" s="153">
        <f>I14+J14+K14</f>
        <v>75924.990000000005</v>
      </c>
      <c r="I14" s="153">
        <f>I15+I16</f>
        <v>4700</v>
      </c>
      <c r="J14" s="153">
        <f>J15+J16</f>
        <v>1560</v>
      </c>
      <c r="K14" s="153">
        <f>K15+K16</f>
        <v>69664.990000000005</v>
      </c>
      <c r="L14" s="153">
        <f>L15+L16</f>
        <v>131998</v>
      </c>
      <c r="M14" s="239"/>
      <c r="N14" s="241"/>
    </row>
    <row r="15" spans="1:14" ht="45.75" customHeight="1" x14ac:dyDescent="0.25">
      <c r="A15" s="422"/>
      <c r="B15" s="513"/>
      <c r="C15" s="329"/>
      <c r="D15" s="329"/>
      <c r="E15" s="151">
        <f>H15</f>
        <v>65797.5</v>
      </c>
      <c r="F15" s="239">
        <v>0</v>
      </c>
      <c r="G15" s="241" t="s">
        <v>14</v>
      </c>
      <c r="H15" s="152">
        <f>I15+J15+K15</f>
        <v>65797.5</v>
      </c>
      <c r="I15" s="152">
        <v>4465</v>
      </c>
      <c r="J15" s="152">
        <v>0</v>
      </c>
      <c r="K15" s="152">
        <v>61332.5</v>
      </c>
      <c r="L15" s="152">
        <v>131998</v>
      </c>
      <c r="M15" s="239"/>
      <c r="N15" s="241"/>
    </row>
    <row r="16" spans="1:14" ht="55.5" customHeight="1" x14ac:dyDescent="0.25">
      <c r="A16" s="423"/>
      <c r="B16" s="513"/>
      <c r="C16" s="329"/>
      <c r="D16" s="329"/>
      <c r="E16" s="151">
        <f>H16</f>
        <v>10127.49</v>
      </c>
      <c r="F16" s="239">
        <v>0</v>
      </c>
      <c r="G16" s="109" t="s">
        <v>155</v>
      </c>
      <c r="H16" s="152">
        <f>I16+J16+K16</f>
        <v>10127.49</v>
      </c>
      <c r="I16" s="152">
        <v>235</v>
      </c>
      <c r="J16" s="152">
        <v>1560</v>
      </c>
      <c r="K16" s="152">
        <v>8332.49</v>
      </c>
      <c r="L16" s="152">
        <v>0</v>
      </c>
      <c r="M16" s="239"/>
      <c r="N16" s="241"/>
    </row>
    <row r="17" spans="1:14" x14ac:dyDescent="0.25">
      <c r="A17" s="154"/>
      <c r="B17" s="39" t="s">
        <v>236</v>
      </c>
      <c r="C17" s="155"/>
      <c r="D17" s="155"/>
      <c r="E17" s="156"/>
      <c r="F17" s="155"/>
      <c r="G17" s="157" t="s">
        <v>40</v>
      </c>
      <c r="H17" s="153">
        <f>H14</f>
        <v>75924.990000000005</v>
      </c>
      <c r="I17" s="153">
        <f>I14</f>
        <v>4700</v>
      </c>
      <c r="J17" s="153">
        <f>J14</f>
        <v>1560</v>
      </c>
      <c r="K17" s="153">
        <f>K14</f>
        <v>69664.990000000005</v>
      </c>
      <c r="L17" s="153">
        <f>L14</f>
        <v>131998</v>
      </c>
      <c r="M17" s="239"/>
      <c r="N17" s="241"/>
    </row>
    <row r="18" spans="1:14" x14ac:dyDescent="0.25">
      <c r="A18" s="507" t="s">
        <v>565</v>
      </c>
      <c r="B18" s="507"/>
      <c r="C18" s="507"/>
      <c r="D18" s="507"/>
      <c r="E18" s="507"/>
      <c r="F18" s="507"/>
      <c r="G18" s="158" t="s">
        <v>53</v>
      </c>
      <c r="H18" s="159">
        <f>H19+H20</f>
        <v>75924.990000000005</v>
      </c>
      <c r="I18" s="159">
        <f>I19+I20</f>
        <v>4700</v>
      </c>
      <c r="J18" s="159">
        <f>J19+J20</f>
        <v>1560</v>
      </c>
      <c r="K18" s="159">
        <f>K19+K20</f>
        <v>69664.990000000005</v>
      </c>
      <c r="L18" s="159">
        <f>L19+L20</f>
        <v>131998</v>
      </c>
      <c r="M18" s="239"/>
      <c r="N18" s="241"/>
    </row>
    <row r="19" spans="1:14" ht="28.5" x14ac:dyDescent="0.25">
      <c r="A19" s="507"/>
      <c r="B19" s="507"/>
      <c r="C19" s="507"/>
      <c r="D19" s="507"/>
      <c r="E19" s="507"/>
      <c r="F19" s="507"/>
      <c r="G19" s="160" t="s">
        <v>14</v>
      </c>
      <c r="H19" s="159">
        <f t="shared" ref="H19:L20" si="0">H15</f>
        <v>65797.5</v>
      </c>
      <c r="I19" s="159">
        <f t="shared" si="0"/>
        <v>4465</v>
      </c>
      <c r="J19" s="159">
        <f t="shared" si="0"/>
        <v>0</v>
      </c>
      <c r="K19" s="159">
        <f t="shared" si="0"/>
        <v>61332.5</v>
      </c>
      <c r="L19" s="159">
        <f t="shared" si="0"/>
        <v>131998</v>
      </c>
      <c r="M19" s="239"/>
      <c r="N19" s="241"/>
    </row>
    <row r="20" spans="1:14" ht="31.5" customHeight="1" x14ac:dyDescent="0.25">
      <c r="A20" s="507"/>
      <c r="B20" s="507"/>
      <c r="C20" s="507"/>
      <c r="D20" s="507"/>
      <c r="E20" s="507"/>
      <c r="F20" s="507"/>
      <c r="G20" s="160" t="s">
        <v>155</v>
      </c>
      <c r="H20" s="159">
        <f t="shared" si="0"/>
        <v>10127.49</v>
      </c>
      <c r="I20" s="159">
        <f t="shared" si="0"/>
        <v>235</v>
      </c>
      <c r="J20" s="159">
        <f t="shared" si="0"/>
        <v>1560</v>
      </c>
      <c r="K20" s="159">
        <f t="shared" si="0"/>
        <v>8332.49</v>
      </c>
      <c r="L20" s="159">
        <f t="shared" si="0"/>
        <v>0</v>
      </c>
      <c r="M20" s="239"/>
      <c r="N20" s="241"/>
    </row>
    <row r="21" spans="1:14" x14ac:dyDescent="0.25">
      <c r="I21" s="100"/>
      <c r="J21" s="100"/>
      <c r="K21" s="100"/>
      <c r="L21" s="100"/>
    </row>
    <row r="22" spans="1:14" x14ac:dyDescent="0.25">
      <c r="I22" s="100"/>
      <c r="J22" s="100"/>
      <c r="K22" s="100"/>
      <c r="L22" s="100"/>
    </row>
    <row r="23" spans="1:14" x14ac:dyDescent="0.25">
      <c r="G23" t="s">
        <v>384</v>
      </c>
      <c r="I23" s="100"/>
      <c r="J23" s="100"/>
      <c r="K23" s="100"/>
      <c r="L23" s="100"/>
    </row>
    <row r="24" spans="1:14" x14ac:dyDescent="0.25">
      <c r="I24" s="100"/>
      <c r="J24" s="100"/>
      <c r="K24" s="100"/>
      <c r="L24" s="100"/>
    </row>
  </sheetData>
  <mergeCells count="22">
    <mergeCell ref="N11:N12"/>
    <mergeCell ref="E11:E12"/>
    <mergeCell ref="D11:D12"/>
    <mergeCell ref="B11:B12"/>
    <mergeCell ref="F11:F12"/>
    <mergeCell ref="H11:L11"/>
    <mergeCell ref="A9:N9"/>
    <mergeCell ref="A18:F20"/>
    <mergeCell ref="A1:N1"/>
    <mergeCell ref="A2:N2"/>
    <mergeCell ref="A3:N3"/>
    <mergeCell ref="A5:N5"/>
    <mergeCell ref="A7:N7"/>
    <mergeCell ref="A8:N8"/>
    <mergeCell ref="G11:G12"/>
    <mergeCell ref="M11:M12"/>
    <mergeCell ref="A14:A16"/>
    <mergeCell ref="B14:B16"/>
    <mergeCell ref="C14:C16"/>
    <mergeCell ref="D14:D16"/>
    <mergeCell ref="A11:A12"/>
    <mergeCell ref="C11:C12"/>
  </mergeCells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7"/>
  <sheetViews>
    <sheetView view="pageBreakPreview" topLeftCell="A22" zoomScale="110" zoomScaleNormal="120" zoomScaleSheetLayoutView="110" workbookViewId="0">
      <selection sqref="A1:P29"/>
    </sheetView>
  </sheetViews>
  <sheetFormatPr defaultRowHeight="15" x14ac:dyDescent="0.25"/>
  <cols>
    <col min="1" max="1" width="6.5703125" style="278" customWidth="1"/>
    <col min="2" max="2" width="33.5703125" style="278" customWidth="1"/>
    <col min="3" max="3" width="29.42578125" style="278" customWidth="1"/>
    <col min="4" max="4" width="16.28515625" style="278" customWidth="1"/>
    <col min="5" max="5" width="12" style="278" customWidth="1"/>
    <col min="6" max="6" width="15.28515625" style="278" customWidth="1"/>
    <col min="7" max="7" width="10.42578125" style="278" customWidth="1"/>
    <col min="8" max="8" width="10" style="278" customWidth="1"/>
    <col min="9" max="9" width="10.28515625" style="278" customWidth="1"/>
    <col min="10" max="10" width="10.42578125" style="278" customWidth="1"/>
    <col min="11" max="11" width="0.140625" style="278" customWidth="1"/>
    <col min="12" max="16" width="9.140625" style="278" hidden="1" customWidth="1"/>
    <col min="17" max="16384" width="9.140625" style="278"/>
  </cols>
  <sheetData>
    <row r="1" spans="1:16" x14ac:dyDescent="0.25">
      <c r="A1" s="451" t="s">
        <v>79</v>
      </c>
      <c r="B1" s="451"/>
      <c r="C1" s="451"/>
      <c r="D1" s="451"/>
      <c r="E1" s="451"/>
      <c r="F1" s="451"/>
      <c r="G1" s="451"/>
      <c r="H1" s="451"/>
      <c r="I1" s="451"/>
      <c r="J1" s="451"/>
    </row>
    <row r="2" spans="1:16" x14ac:dyDescent="0.25">
      <c r="A2" s="452" t="s">
        <v>180</v>
      </c>
      <c r="B2" s="452"/>
      <c r="C2" s="452"/>
      <c r="D2" s="452"/>
      <c r="E2" s="452"/>
      <c r="F2" s="452"/>
      <c r="G2" s="452"/>
      <c r="H2" s="452"/>
      <c r="I2" s="452"/>
      <c r="J2" s="452"/>
    </row>
    <row r="3" spans="1:16" ht="15.75" x14ac:dyDescent="0.25">
      <c r="A3" s="451" t="s">
        <v>173</v>
      </c>
      <c r="B3" s="451"/>
      <c r="C3" s="451"/>
      <c r="D3" s="451"/>
      <c r="E3" s="451"/>
      <c r="F3" s="451"/>
      <c r="G3" s="451"/>
      <c r="H3" s="451"/>
      <c r="I3" s="451"/>
      <c r="J3" s="451"/>
    </row>
    <row r="4" spans="1:16" x14ac:dyDescent="0.25">
      <c r="A4" s="20"/>
    </row>
    <row r="5" spans="1:16" ht="27.75" customHeight="1" x14ac:dyDescent="0.25">
      <c r="A5" s="516" t="s">
        <v>237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</row>
    <row r="6" spans="1:16" ht="15" customHeight="1" x14ac:dyDescent="0.25">
      <c r="A6" s="517" t="s">
        <v>359</v>
      </c>
      <c r="B6" s="517"/>
      <c r="C6" s="517"/>
      <c r="D6" s="517"/>
      <c r="E6" s="517"/>
      <c r="F6" s="517"/>
      <c r="G6" s="517"/>
      <c r="H6" s="517"/>
      <c r="I6" s="517"/>
      <c r="J6" s="517"/>
    </row>
    <row r="7" spans="1:16" x14ac:dyDescent="0.25">
      <c r="A7" s="518" t="s">
        <v>229</v>
      </c>
      <c r="B7" s="518"/>
      <c r="C7" s="518"/>
      <c r="D7" s="518"/>
      <c r="E7" s="518"/>
      <c r="F7" s="518"/>
      <c r="G7" s="518"/>
      <c r="H7" s="518"/>
      <c r="I7" s="518"/>
      <c r="J7" s="518"/>
    </row>
    <row r="8" spans="1:16" x14ac:dyDescent="0.25">
      <c r="A8" s="145" t="s">
        <v>182</v>
      </c>
      <c r="B8" s="146"/>
      <c r="C8" s="146"/>
      <c r="D8" s="146"/>
      <c r="E8" s="146"/>
      <c r="F8" s="146"/>
      <c r="G8" s="146"/>
      <c r="H8" s="147"/>
      <c r="I8" s="147"/>
      <c r="J8" s="147"/>
    </row>
    <row r="9" spans="1:16" ht="9.75" customHeight="1" x14ac:dyDescent="0.25">
      <c r="A9" s="148"/>
      <c r="B9" s="149"/>
      <c r="C9" s="149"/>
      <c r="D9" s="149"/>
      <c r="E9" s="149"/>
      <c r="F9" s="149"/>
      <c r="G9" s="149"/>
      <c r="H9" s="147"/>
      <c r="I9" s="147"/>
      <c r="J9" s="147"/>
    </row>
    <row r="10" spans="1:16" x14ac:dyDescent="0.25">
      <c r="A10" s="19" t="s">
        <v>230</v>
      </c>
      <c r="B10" s="147"/>
      <c r="C10" s="147"/>
      <c r="D10" s="147"/>
      <c r="E10" s="147"/>
      <c r="F10" s="147"/>
      <c r="G10" s="147"/>
      <c r="H10" s="147"/>
      <c r="I10" s="147"/>
      <c r="J10" s="147"/>
    </row>
    <row r="11" spans="1:16" ht="10.5" customHeight="1" x14ac:dyDescent="0.25">
      <c r="A11" s="19"/>
    </row>
    <row r="12" spans="1:16" x14ac:dyDescent="0.25">
      <c r="A12" s="19" t="s">
        <v>238</v>
      </c>
    </row>
    <row r="13" spans="1:16" ht="10.5" customHeight="1" x14ac:dyDescent="0.25">
      <c r="A13" s="19"/>
    </row>
    <row r="14" spans="1:16" x14ac:dyDescent="0.25">
      <c r="A14" s="19" t="s">
        <v>239</v>
      </c>
    </row>
    <row r="15" spans="1:16" ht="11.25" customHeight="1" x14ac:dyDescent="0.25">
      <c r="A15" s="21"/>
    </row>
    <row r="16" spans="1:16" ht="85.5" customHeight="1" x14ac:dyDescent="0.25">
      <c r="A16" s="338" t="s">
        <v>0</v>
      </c>
      <c r="B16" s="338" t="s">
        <v>80</v>
      </c>
      <c r="C16" s="338" t="s">
        <v>240</v>
      </c>
      <c r="D16" s="338" t="s">
        <v>241</v>
      </c>
      <c r="E16" s="338" t="s">
        <v>242</v>
      </c>
      <c r="F16" s="338" t="s">
        <v>74</v>
      </c>
      <c r="G16" s="338" t="s">
        <v>81</v>
      </c>
      <c r="H16" s="338"/>
      <c r="I16" s="338"/>
      <c r="J16" s="338"/>
    </row>
    <row r="17" spans="1:10" x14ac:dyDescent="0.25">
      <c r="A17" s="338"/>
      <c r="B17" s="338"/>
      <c r="C17" s="338"/>
      <c r="D17" s="338"/>
      <c r="E17" s="338"/>
      <c r="F17" s="338"/>
      <c r="G17" s="292" t="s">
        <v>40</v>
      </c>
      <c r="H17" s="292" t="s">
        <v>5</v>
      </c>
      <c r="I17" s="292" t="s">
        <v>6</v>
      </c>
      <c r="J17" s="292" t="s">
        <v>104</v>
      </c>
    </row>
    <row r="18" spans="1:10" x14ac:dyDescent="0.25">
      <c r="A18" s="292">
        <v>1</v>
      </c>
      <c r="B18" s="292">
        <v>2</v>
      </c>
      <c r="C18" s="292">
        <v>3</v>
      </c>
      <c r="D18" s="292">
        <v>4</v>
      </c>
      <c r="E18" s="292">
        <v>5</v>
      </c>
      <c r="F18" s="292">
        <v>6</v>
      </c>
      <c r="G18" s="292">
        <v>7</v>
      </c>
      <c r="H18" s="292">
        <v>8</v>
      </c>
      <c r="I18" s="292">
        <v>9</v>
      </c>
      <c r="J18" s="292">
        <v>10</v>
      </c>
    </row>
    <row r="19" spans="1:10" ht="19.5" customHeight="1" x14ac:dyDescent="0.25">
      <c r="A19" s="292" t="s">
        <v>247</v>
      </c>
      <c r="B19" s="521" t="s">
        <v>246</v>
      </c>
      <c r="C19" s="522"/>
      <c r="D19" s="522"/>
      <c r="E19" s="522"/>
      <c r="F19" s="522"/>
      <c r="G19" s="522"/>
      <c r="H19" s="522"/>
      <c r="I19" s="522"/>
      <c r="J19" s="523"/>
    </row>
    <row r="20" spans="1:10" ht="67.5" customHeight="1" x14ac:dyDescent="0.25">
      <c r="A20" s="292" t="s">
        <v>2</v>
      </c>
      <c r="B20" s="102" t="s">
        <v>626</v>
      </c>
      <c r="C20" s="102" t="s">
        <v>627</v>
      </c>
      <c r="D20" s="102" t="s">
        <v>628</v>
      </c>
      <c r="E20" s="102" t="s">
        <v>629</v>
      </c>
      <c r="F20" s="102" t="s">
        <v>155</v>
      </c>
      <c r="G20" s="290">
        <f>H20+I20+J20</f>
        <v>2386.6</v>
      </c>
      <c r="H20" s="290">
        <v>0</v>
      </c>
      <c r="I20" s="290">
        <v>2386.6</v>
      </c>
      <c r="J20" s="290"/>
    </row>
    <row r="21" spans="1:10" ht="90.75" customHeight="1" x14ac:dyDescent="0.25">
      <c r="A21" s="292" t="s">
        <v>630</v>
      </c>
      <c r="B21" s="102" t="s">
        <v>631</v>
      </c>
      <c r="C21" s="102" t="s">
        <v>632</v>
      </c>
      <c r="D21" s="102" t="s">
        <v>633</v>
      </c>
      <c r="E21" s="102" t="s">
        <v>634</v>
      </c>
      <c r="F21" s="102" t="s">
        <v>155</v>
      </c>
      <c r="G21" s="290">
        <f t="shared" ref="G21:G23" si="0">H21+I21+J21</f>
        <v>2145.5</v>
      </c>
      <c r="H21" s="290">
        <v>0</v>
      </c>
      <c r="I21" s="290">
        <v>2145.5</v>
      </c>
      <c r="J21" s="290"/>
    </row>
    <row r="22" spans="1:10" ht="86.25" customHeight="1" x14ac:dyDescent="0.25">
      <c r="A22" s="144" t="s">
        <v>635</v>
      </c>
      <c r="B22" s="279" t="s">
        <v>636</v>
      </c>
      <c r="C22" s="279" t="s">
        <v>637</v>
      </c>
      <c r="D22" s="279" t="s">
        <v>628</v>
      </c>
      <c r="E22" s="290" t="s">
        <v>638</v>
      </c>
      <c r="F22" s="291" t="s">
        <v>155</v>
      </c>
      <c r="G22" s="290">
        <f t="shared" si="0"/>
        <v>530</v>
      </c>
      <c r="H22" s="151">
        <v>0</v>
      </c>
      <c r="I22" s="151">
        <v>530</v>
      </c>
      <c r="J22" s="290"/>
    </row>
    <row r="23" spans="1:10" ht="86.25" customHeight="1" x14ac:dyDescent="0.25">
      <c r="A23" s="144" t="s">
        <v>639</v>
      </c>
      <c r="B23" s="279" t="s">
        <v>640</v>
      </c>
      <c r="C23" s="279" t="s">
        <v>641</v>
      </c>
      <c r="D23" s="279" t="s">
        <v>628</v>
      </c>
      <c r="E23" s="290" t="s">
        <v>638</v>
      </c>
      <c r="F23" s="291" t="s">
        <v>155</v>
      </c>
      <c r="G23" s="290">
        <f t="shared" si="0"/>
        <v>407</v>
      </c>
      <c r="H23" s="151">
        <v>0</v>
      </c>
      <c r="I23" s="151">
        <v>407</v>
      </c>
      <c r="J23" s="290"/>
    </row>
    <row r="24" spans="1:10" ht="22.5" customHeight="1" x14ac:dyDescent="0.25">
      <c r="A24" s="292" t="s">
        <v>249</v>
      </c>
      <c r="B24" s="521" t="s">
        <v>248</v>
      </c>
      <c r="C24" s="522"/>
      <c r="D24" s="522"/>
      <c r="E24" s="522"/>
      <c r="F24" s="522"/>
      <c r="G24" s="522"/>
      <c r="H24" s="522"/>
      <c r="I24" s="522"/>
      <c r="J24" s="523"/>
    </row>
    <row r="25" spans="1:10" ht="51" x14ac:dyDescent="0.25">
      <c r="A25" s="144" t="s">
        <v>2</v>
      </c>
      <c r="B25" s="290"/>
      <c r="C25" s="290"/>
      <c r="D25" s="290"/>
      <c r="E25" s="290"/>
      <c r="F25" s="291" t="s">
        <v>14</v>
      </c>
      <c r="G25" s="292">
        <v>0</v>
      </c>
      <c r="H25" s="292">
        <v>0</v>
      </c>
      <c r="I25" s="292">
        <v>0</v>
      </c>
      <c r="J25" s="292">
        <v>0</v>
      </c>
    </row>
    <row r="26" spans="1:10" ht="20.25" customHeight="1" x14ac:dyDescent="0.25">
      <c r="A26" s="519"/>
      <c r="B26" s="520"/>
      <c r="C26" s="335"/>
      <c r="D26" s="335"/>
      <c r="E26" s="335"/>
      <c r="F26" s="31" t="s">
        <v>11</v>
      </c>
      <c r="G26" s="293">
        <f>G27+G28</f>
        <v>5469.1</v>
      </c>
      <c r="H26" s="293">
        <f>H27+H28</f>
        <v>0</v>
      </c>
      <c r="I26" s="293">
        <f>I27+I28</f>
        <v>5469.1</v>
      </c>
      <c r="J26" s="293">
        <f>J27+J28</f>
        <v>0</v>
      </c>
    </row>
    <row r="27" spans="1:10" ht="57" customHeight="1" x14ac:dyDescent="0.25">
      <c r="A27" s="519"/>
      <c r="B27" s="520"/>
      <c r="C27" s="335"/>
      <c r="D27" s="335"/>
      <c r="E27" s="335"/>
      <c r="F27" s="31" t="s">
        <v>155</v>
      </c>
      <c r="G27" s="293">
        <f>H27+I27+J27</f>
        <v>5469.1</v>
      </c>
      <c r="H27" s="110">
        <v>0</v>
      </c>
      <c r="I27" s="532">
        <f>I20+I21+I22+I23</f>
        <v>5469.1</v>
      </c>
      <c r="J27" s="293">
        <v>0</v>
      </c>
    </row>
    <row r="28" spans="1:10" ht="51" x14ac:dyDescent="0.25">
      <c r="A28" s="519"/>
      <c r="B28" s="520"/>
      <c r="C28" s="335"/>
      <c r="D28" s="335"/>
      <c r="E28" s="335"/>
      <c r="F28" s="31" t="s">
        <v>14</v>
      </c>
      <c r="G28" s="293">
        <f>H28+I28+J28</f>
        <v>0</v>
      </c>
      <c r="H28" s="110">
        <v>0</v>
      </c>
      <c r="I28" s="293">
        <v>0</v>
      </c>
      <c r="J28" s="293">
        <v>0</v>
      </c>
    </row>
    <row r="29" spans="1:10" x14ac:dyDescent="0.25">
      <c r="A29" s="530" t="s">
        <v>236</v>
      </c>
      <c r="B29" s="530"/>
      <c r="C29" s="530"/>
      <c r="D29" s="530"/>
      <c r="E29" s="530"/>
      <c r="F29" s="31" t="s">
        <v>77</v>
      </c>
      <c r="G29" s="293">
        <f>G26</f>
        <v>5469.1</v>
      </c>
      <c r="H29" s="293">
        <f>H26</f>
        <v>0</v>
      </c>
      <c r="I29" s="293">
        <f>I26</f>
        <v>5469.1</v>
      </c>
      <c r="J29" s="293">
        <f>J26</f>
        <v>0</v>
      </c>
    </row>
    <row r="37" spans="2:2" x14ac:dyDescent="0.25">
      <c r="B37" s="531"/>
    </row>
  </sheetData>
  <mergeCells count="21">
    <mergeCell ref="B24:J24"/>
    <mergeCell ref="A16:A17"/>
    <mergeCell ref="B16:B17"/>
    <mergeCell ref="C16:C17"/>
    <mergeCell ref="D16:D17"/>
    <mergeCell ref="E16:E17"/>
    <mergeCell ref="A5:P5"/>
    <mergeCell ref="A6:J6"/>
    <mergeCell ref="A7:J7"/>
    <mergeCell ref="A29:E29"/>
    <mergeCell ref="A1:J1"/>
    <mergeCell ref="A2:J2"/>
    <mergeCell ref="A3:J3"/>
    <mergeCell ref="A26:A28"/>
    <mergeCell ref="B26:B28"/>
    <mergeCell ref="C26:C28"/>
    <mergeCell ref="B19:J19"/>
    <mergeCell ref="D26:D28"/>
    <mergeCell ref="E26:E28"/>
    <mergeCell ref="F16:F17"/>
    <mergeCell ref="G16:J16"/>
  </mergeCells>
  <pageMargins left="0.51181102362204722" right="0.51181102362204722" top="0.74803149606299213" bottom="0.74803149606299213" header="0.31496062992125984" footer="0.31496062992125984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4"/>
  <sheetViews>
    <sheetView zoomScaleNormal="100" zoomScaleSheetLayoutView="100" workbookViewId="0">
      <selection activeCell="L10" sqref="L10"/>
    </sheetView>
  </sheetViews>
  <sheetFormatPr defaultRowHeight="15" x14ac:dyDescent="0.25"/>
  <cols>
    <col min="1" max="1" width="6.140625" customWidth="1"/>
    <col min="2" max="2" width="27.42578125" customWidth="1"/>
    <col min="3" max="3" width="50.28515625" customWidth="1"/>
    <col min="4" max="4" width="13.42578125" customWidth="1"/>
    <col min="5" max="5" width="34.140625" customWidth="1"/>
    <col min="6" max="6" width="10.85546875" customWidth="1"/>
  </cols>
  <sheetData>
    <row r="1" spans="1:6" x14ac:dyDescent="0.25">
      <c r="A1" s="451" t="s">
        <v>205</v>
      </c>
      <c r="B1" s="451"/>
      <c r="C1" s="451"/>
      <c r="D1" s="451"/>
      <c r="E1" s="451"/>
      <c r="F1" s="451"/>
    </row>
    <row r="2" spans="1:6" x14ac:dyDescent="0.25">
      <c r="A2" s="452" t="s">
        <v>180</v>
      </c>
      <c r="B2" s="452"/>
      <c r="C2" s="452"/>
      <c r="D2" s="452"/>
      <c r="E2" s="452"/>
      <c r="F2" s="452"/>
    </row>
    <row r="3" spans="1:6" x14ac:dyDescent="0.25">
      <c r="A3" s="451" t="s">
        <v>172</v>
      </c>
      <c r="B3" s="451"/>
      <c r="C3" s="451"/>
      <c r="D3" s="451"/>
      <c r="E3" s="451"/>
      <c r="F3" s="451"/>
    </row>
    <row r="4" spans="1:6" ht="15.75" x14ac:dyDescent="0.25">
      <c r="A4" s="14"/>
    </row>
    <row r="5" spans="1:6" x14ac:dyDescent="0.25">
      <c r="A5" s="328" t="s">
        <v>82</v>
      </c>
      <c r="B5" s="328"/>
      <c r="C5" s="328"/>
      <c r="D5" s="328"/>
      <c r="E5" s="328"/>
      <c r="F5" s="328"/>
    </row>
    <row r="6" spans="1:6" ht="40.5" customHeight="1" x14ac:dyDescent="0.25">
      <c r="A6" s="524" t="s">
        <v>354</v>
      </c>
      <c r="B6" s="524"/>
      <c r="C6" s="524"/>
      <c r="D6" s="524"/>
      <c r="E6" s="524"/>
      <c r="F6" s="524"/>
    </row>
    <row r="7" spans="1:6" ht="38.25" x14ac:dyDescent="0.25">
      <c r="A7" s="31" t="s">
        <v>83</v>
      </c>
      <c r="B7" s="97" t="s">
        <v>84</v>
      </c>
      <c r="C7" s="97" t="s">
        <v>85</v>
      </c>
      <c r="D7" s="97" t="s">
        <v>1</v>
      </c>
      <c r="E7" s="101" t="s">
        <v>157</v>
      </c>
      <c r="F7" s="97" t="s">
        <v>86</v>
      </c>
    </row>
    <row r="8" spans="1:6" ht="25.5" customHeight="1" x14ac:dyDescent="0.25">
      <c r="A8" s="28"/>
      <c r="B8" s="445" t="s">
        <v>99</v>
      </c>
      <c r="C8" s="445"/>
      <c r="D8" s="445"/>
      <c r="E8" s="445"/>
      <c r="F8" s="445"/>
    </row>
    <row r="9" spans="1:6" ht="153" x14ac:dyDescent="0.25">
      <c r="A9" s="144" t="s">
        <v>71</v>
      </c>
      <c r="B9" s="175" t="s">
        <v>407</v>
      </c>
      <c r="C9" s="84" t="s">
        <v>88</v>
      </c>
      <c r="D9" s="175" t="s">
        <v>3</v>
      </c>
      <c r="E9" s="175"/>
      <c r="F9" s="175"/>
    </row>
    <row r="10" spans="1:6" s="278" customFormat="1" ht="76.5" x14ac:dyDescent="0.25">
      <c r="A10" s="144" t="s">
        <v>66</v>
      </c>
      <c r="B10" s="280" t="s">
        <v>501</v>
      </c>
      <c r="C10" s="279" t="s">
        <v>613</v>
      </c>
      <c r="D10" s="280" t="s">
        <v>593</v>
      </c>
      <c r="E10" s="280"/>
      <c r="F10" s="280"/>
    </row>
    <row r="11" spans="1:6" ht="63.75" x14ac:dyDescent="0.25">
      <c r="A11" s="144" t="s">
        <v>140</v>
      </c>
      <c r="B11" s="175" t="s">
        <v>502</v>
      </c>
      <c r="C11" s="84" t="s">
        <v>156</v>
      </c>
      <c r="D11" s="175" t="s">
        <v>4</v>
      </c>
      <c r="E11" s="175" t="s">
        <v>158</v>
      </c>
      <c r="F11" s="175"/>
    </row>
    <row r="12" spans="1:6" ht="28.5" customHeight="1" x14ac:dyDescent="0.25">
      <c r="A12" s="389" t="s">
        <v>113</v>
      </c>
      <c r="B12" s="390"/>
      <c r="C12" s="390"/>
      <c r="D12" s="390"/>
      <c r="E12" s="390"/>
      <c r="F12" s="391"/>
    </row>
    <row r="13" spans="1:6" ht="140.25" x14ac:dyDescent="0.25">
      <c r="A13" s="144" t="s">
        <v>67</v>
      </c>
      <c r="B13" s="235" t="s">
        <v>448</v>
      </c>
      <c r="C13" s="84" t="s">
        <v>449</v>
      </c>
      <c r="D13" s="235" t="s">
        <v>3</v>
      </c>
      <c r="E13" s="235" t="s">
        <v>450</v>
      </c>
      <c r="F13" s="235"/>
    </row>
    <row r="14" spans="1:6" ht="140.25" x14ac:dyDescent="0.25">
      <c r="A14" s="144" t="s">
        <v>68</v>
      </c>
      <c r="B14" s="235" t="s">
        <v>433</v>
      </c>
      <c r="C14" s="84" t="s">
        <v>159</v>
      </c>
      <c r="D14" s="235" t="s">
        <v>161</v>
      </c>
      <c r="E14" s="235" t="s">
        <v>265</v>
      </c>
      <c r="F14" s="235"/>
    </row>
    <row r="15" spans="1:6" ht="76.5" x14ac:dyDescent="0.25">
      <c r="A15" s="144" t="s">
        <v>69</v>
      </c>
      <c r="B15" s="235" t="s">
        <v>174</v>
      </c>
      <c r="C15" s="84" t="s">
        <v>175</v>
      </c>
      <c r="D15" s="235" t="s">
        <v>3</v>
      </c>
      <c r="E15" s="235" t="s">
        <v>160</v>
      </c>
      <c r="F15" s="235"/>
    </row>
    <row r="16" spans="1:6" ht="51" x14ac:dyDescent="0.25">
      <c r="A16" s="144" t="s">
        <v>218</v>
      </c>
      <c r="B16" s="235" t="s">
        <v>408</v>
      </c>
      <c r="C16" s="84" t="s">
        <v>452</v>
      </c>
      <c r="D16" s="235" t="s">
        <v>4</v>
      </c>
      <c r="E16" s="235" t="s">
        <v>451</v>
      </c>
      <c r="F16" s="235"/>
    </row>
    <row r="17" spans="1:12" ht="25.5" customHeight="1" x14ac:dyDescent="0.25">
      <c r="A17" s="389" t="s">
        <v>114</v>
      </c>
      <c r="B17" s="390"/>
      <c r="C17" s="390"/>
      <c r="D17" s="390"/>
      <c r="E17" s="390"/>
      <c r="F17" s="391"/>
    </row>
    <row r="18" spans="1:12" ht="63.75" x14ac:dyDescent="0.25">
      <c r="A18" s="144" t="s">
        <v>220</v>
      </c>
      <c r="B18" s="235" t="s">
        <v>445</v>
      </c>
      <c r="C18" s="235" t="s">
        <v>449</v>
      </c>
      <c r="D18" s="235" t="s">
        <v>3</v>
      </c>
      <c r="E18" s="235" t="s">
        <v>453</v>
      </c>
      <c r="F18" s="235"/>
    </row>
    <row r="19" spans="1:12" ht="51" x14ac:dyDescent="0.25">
      <c r="A19" s="144" t="s">
        <v>414</v>
      </c>
      <c r="B19" s="235" t="s">
        <v>446</v>
      </c>
      <c r="C19" s="235" t="s">
        <v>159</v>
      </c>
      <c r="D19" s="235" t="s">
        <v>161</v>
      </c>
      <c r="E19" s="235" t="s">
        <v>453</v>
      </c>
      <c r="F19" s="235"/>
    </row>
    <row r="20" spans="1:12" ht="51" x14ac:dyDescent="0.25">
      <c r="A20" s="144" t="s">
        <v>415</v>
      </c>
      <c r="B20" s="235" t="s">
        <v>409</v>
      </c>
      <c r="C20" s="235" t="s">
        <v>454</v>
      </c>
      <c r="D20" s="235" t="s">
        <v>4</v>
      </c>
      <c r="E20" s="235" t="s">
        <v>455</v>
      </c>
      <c r="F20" s="235"/>
    </row>
    <row r="21" spans="1:12" ht="102" x14ac:dyDescent="0.25">
      <c r="A21" s="144" t="s">
        <v>447</v>
      </c>
      <c r="B21" s="235" t="s">
        <v>371</v>
      </c>
      <c r="C21" s="236" t="s">
        <v>404</v>
      </c>
      <c r="D21" s="236" t="s">
        <v>3</v>
      </c>
      <c r="E21" s="235" t="s">
        <v>372</v>
      </c>
      <c r="F21" s="236"/>
    </row>
    <row r="22" spans="1:12" ht="25.5" customHeight="1" x14ac:dyDescent="0.25">
      <c r="A22" s="389" t="s">
        <v>115</v>
      </c>
      <c r="B22" s="390"/>
      <c r="C22" s="390"/>
      <c r="D22" s="390"/>
      <c r="E22" s="390"/>
      <c r="F22" s="391"/>
    </row>
    <row r="23" spans="1:12" ht="63.75" x14ac:dyDescent="0.25">
      <c r="A23" s="144" t="s">
        <v>418</v>
      </c>
      <c r="B23" s="235" t="s">
        <v>443</v>
      </c>
      <c r="C23" s="235" t="s">
        <v>449</v>
      </c>
      <c r="D23" s="235" t="s">
        <v>3</v>
      </c>
      <c r="E23" s="235" t="s">
        <v>456</v>
      </c>
      <c r="F23" s="235"/>
    </row>
    <row r="24" spans="1:12" ht="51" x14ac:dyDescent="0.25">
      <c r="A24" s="144" t="s">
        <v>419</v>
      </c>
      <c r="B24" s="235" t="s">
        <v>444</v>
      </c>
      <c r="C24" s="235" t="s">
        <v>458</v>
      </c>
      <c r="D24" s="235" t="s">
        <v>457</v>
      </c>
      <c r="E24" s="235" t="s">
        <v>456</v>
      </c>
      <c r="F24" s="235"/>
    </row>
    <row r="25" spans="1:12" ht="63.75" x14ac:dyDescent="0.25">
      <c r="A25" s="144" t="s">
        <v>436</v>
      </c>
      <c r="B25" s="235" t="s">
        <v>438</v>
      </c>
      <c r="C25" s="235" t="s">
        <v>449</v>
      </c>
      <c r="D25" s="235" t="s">
        <v>3</v>
      </c>
      <c r="E25" s="235" t="s">
        <v>456</v>
      </c>
      <c r="F25" s="235"/>
    </row>
    <row r="26" spans="1:12" ht="25.5" x14ac:dyDescent="0.25">
      <c r="A26" s="144" t="s">
        <v>439</v>
      </c>
      <c r="B26" s="235" t="s">
        <v>440</v>
      </c>
      <c r="C26" s="235" t="s">
        <v>459</v>
      </c>
      <c r="D26" s="235" t="s">
        <v>457</v>
      </c>
      <c r="E26" s="235" t="s">
        <v>456</v>
      </c>
      <c r="F26" s="235"/>
    </row>
    <row r="27" spans="1:12" ht="191.25" x14ac:dyDescent="0.25">
      <c r="A27" s="144" t="s">
        <v>442</v>
      </c>
      <c r="B27" s="175" t="s">
        <v>107</v>
      </c>
      <c r="C27" s="84" t="s">
        <v>89</v>
      </c>
      <c r="D27" s="175" t="s">
        <v>3</v>
      </c>
      <c r="E27" s="175" t="s">
        <v>162</v>
      </c>
      <c r="F27" s="175"/>
      <c r="L27" s="202"/>
    </row>
    <row r="28" spans="1:12" ht="25.5" customHeight="1" x14ac:dyDescent="0.25">
      <c r="A28" s="389" t="s">
        <v>191</v>
      </c>
      <c r="B28" s="390"/>
      <c r="C28" s="390"/>
      <c r="D28" s="390"/>
      <c r="E28" s="390"/>
      <c r="F28" s="391"/>
    </row>
    <row r="29" spans="1:12" ht="92.25" customHeight="1" x14ac:dyDescent="0.25">
      <c r="A29" s="144" t="s">
        <v>78</v>
      </c>
      <c r="B29" s="175" t="s">
        <v>200</v>
      </c>
      <c r="C29" s="84" t="s">
        <v>263</v>
      </c>
      <c r="D29" s="175" t="s">
        <v>3</v>
      </c>
      <c r="E29" s="175" t="s">
        <v>461</v>
      </c>
      <c r="F29" s="175"/>
    </row>
    <row r="30" spans="1:12" ht="140.25" x14ac:dyDescent="0.25">
      <c r="A30" s="144" t="s">
        <v>245</v>
      </c>
      <c r="B30" s="249" t="s">
        <v>504</v>
      </c>
      <c r="C30" s="84" t="s">
        <v>506</v>
      </c>
      <c r="D30" s="249" t="s">
        <v>507</v>
      </c>
      <c r="E30" s="249" t="s">
        <v>508</v>
      </c>
      <c r="F30" s="249"/>
    </row>
    <row r="31" spans="1:12" ht="25.5" customHeight="1" x14ac:dyDescent="0.25">
      <c r="A31" s="389" t="s">
        <v>116</v>
      </c>
      <c r="B31" s="390"/>
      <c r="C31" s="390"/>
      <c r="D31" s="390"/>
      <c r="E31" s="390"/>
      <c r="F31" s="391"/>
    </row>
    <row r="32" spans="1:12" ht="382.5" x14ac:dyDescent="0.25">
      <c r="A32" s="282" t="s">
        <v>417</v>
      </c>
      <c r="B32" s="277" t="s">
        <v>589</v>
      </c>
      <c r="C32" s="277" t="s">
        <v>614</v>
      </c>
      <c r="D32" s="277" t="s">
        <v>462</v>
      </c>
      <c r="E32" s="277" t="s">
        <v>615</v>
      </c>
      <c r="F32" s="277"/>
    </row>
    <row r="33" spans="1:6" s="278" customFormat="1" ht="127.5" x14ac:dyDescent="0.25">
      <c r="A33" s="282" t="s">
        <v>424</v>
      </c>
      <c r="B33" s="277" t="s">
        <v>425</v>
      </c>
      <c r="C33" s="277" t="s">
        <v>460</v>
      </c>
      <c r="D33" s="277" t="s">
        <v>4</v>
      </c>
      <c r="E33" s="277" t="s">
        <v>612</v>
      </c>
      <c r="F33" s="277"/>
    </row>
    <row r="34" spans="1:6" ht="267.75" x14ac:dyDescent="0.25">
      <c r="A34" s="282" t="s">
        <v>591</v>
      </c>
      <c r="B34" s="277" t="s">
        <v>616</v>
      </c>
      <c r="C34" s="277" t="s">
        <v>617</v>
      </c>
      <c r="D34" s="277" t="s">
        <v>4</v>
      </c>
      <c r="E34" s="277" t="s">
        <v>612</v>
      </c>
      <c r="F34" s="277"/>
    </row>
    <row r="35" spans="1:6" x14ac:dyDescent="0.25">
      <c r="A35" s="389" t="s">
        <v>251</v>
      </c>
      <c r="B35" s="390"/>
      <c r="C35" s="390"/>
      <c r="D35" s="390"/>
      <c r="E35" s="390"/>
      <c r="F35" s="391"/>
    </row>
    <row r="36" spans="1:6" ht="102" x14ac:dyDescent="0.25">
      <c r="A36" s="144" t="s">
        <v>412</v>
      </c>
      <c r="B36" s="266" t="s">
        <v>463</v>
      </c>
      <c r="C36" s="266" t="s">
        <v>464</v>
      </c>
      <c r="D36" s="266" t="s">
        <v>457</v>
      </c>
      <c r="E36" s="266" t="s">
        <v>465</v>
      </c>
      <c r="F36" s="266"/>
    </row>
    <row r="37" spans="1:6" ht="153" x14ac:dyDescent="0.25">
      <c r="A37" s="269" t="s">
        <v>548</v>
      </c>
      <c r="B37" s="270" t="s">
        <v>550</v>
      </c>
      <c r="C37" s="270" t="s">
        <v>558</v>
      </c>
      <c r="D37" s="270" t="s">
        <v>559</v>
      </c>
      <c r="E37" s="270" t="s">
        <v>560</v>
      </c>
      <c r="F37" s="271"/>
    </row>
    <row r="38" spans="1:6" ht="153" x14ac:dyDescent="0.25">
      <c r="A38" s="144" t="s">
        <v>549</v>
      </c>
      <c r="B38" s="270" t="s">
        <v>551</v>
      </c>
      <c r="C38" s="270" t="s">
        <v>558</v>
      </c>
      <c r="D38" s="270" t="s">
        <v>561</v>
      </c>
      <c r="E38" s="270" t="s">
        <v>562</v>
      </c>
      <c r="F38" s="268"/>
    </row>
    <row r="39" spans="1:6" ht="25.5" customHeight="1" x14ac:dyDescent="0.25">
      <c r="A39" s="389" t="s">
        <v>150</v>
      </c>
      <c r="B39" s="390"/>
      <c r="C39" s="390"/>
      <c r="D39" s="390"/>
      <c r="E39" s="390"/>
      <c r="F39" s="391"/>
    </row>
    <row r="40" spans="1:6" ht="216.75" x14ac:dyDescent="0.25">
      <c r="A40" s="144" t="s">
        <v>413</v>
      </c>
      <c r="B40" s="175" t="s">
        <v>327</v>
      </c>
      <c r="C40" s="175" t="s">
        <v>163</v>
      </c>
      <c r="D40" s="175" t="s">
        <v>3</v>
      </c>
      <c r="E40" s="175" t="s">
        <v>164</v>
      </c>
      <c r="F40" s="175"/>
    </row>
    <row r="41" spans="1:6" ht="126.75" customHeight="1" x14ac:dyDescent="0.25">
      <c r="A41" s="144" t="s">
        <v>427</v>
      </c>
      <c r="B41" s="249" t="s">
        <v>498</v>
      </c>
      <c r="C41" s="249" t="s">
        <v>509</v>
      </c>
      <c r="D41" s="250" t="s">
        <v>510</v>
      </c>
      <c r="E41" s="249" t="s">
        <v>511</v>
      </c>
      <c r="F41" s="249"/>
    </row>
    <row r="42" spans="1:6" ht="136.5" customHeight="1" x14ac:dyDescent="0.25">
      <c r="A42" s="238" t="s">
        <v>512</v>
      </c>
      <c r="B42" s="191" t="s">
        <v>437</v>
      </c>
      <c r="C42" s="235" t="s">
        <v>466</v>
      </c>
      <c r="D42" s="192" t="s">
        <v>3</v>
      </c>
      <c r="E42" s="191"/>
      <c r="F42" s="193"/>
    </row>
    <row r="43" spans="1:6" ht="15.75" x14ac:dyDescent="0.25">
      <c r="A43" s="10"/>
    </row>
    <row r="44" spans="1:6" x14ac:dyDescent="0.25">
      <c r="A44" s="22"/>
    </row>
  </sheetData>
  <mergeCells count="13">
    <mergeCell ref="A1:F1"/>
    <mergeCell ref="A2:F2"/>
    <mergeCell ref="A3:F3"/>
    <mergeCell ref="A5:F5"/>
    <mergeCell ref="A6:F6"/>
    <mergeCell ref="A22:F22"/>
    <mergeCell ref="A28:F28"/>
    <mergeCell ref="A31:F31"/>
    <mergeCell ref="A39:F39"/>
    <mergeCell ref="B8:F8"/>
    <mergeCell ref="A12:F12"/>
    <mergeCell ref="A17:F17"/>
    <mergeCell ref="A35:F35"/>
  </mergeCells>
  <pageMargins left="0.70866141732283472" right="0.5118110236220472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topLeftCell="A35" zoomScale="110" zoomScaleNormal="110" workbookViewId="0">
      <selection sqref="A1:K45"/>
    </sheetView>
  </sheetViews>
  <sheetFormatPr defaultRowHeight="12.75" x14ac:dyDescent="0.2"/>
  <cols>
    <col min="1" max="1" width="6.28515625" style="53" customWidth="1"/>
    <col min="2" max="2" width="78.7109375" style="53" customWidth="1"/>
    <col min="3" max="3" width="32.5703125" style="53" customWidth="1"/>
    <col min="4" max="4" width="18" style="53" customWidth="1"/>
    <col min="5" max="5" width="15.28515625" style="53" customWidth="1"/>
    <col min="6" max="6" width="12" style="53" customWidth="1"/>
    <col min="7" max="10" width="12.42578125" style="53" customWidth="1"/>
    <col min="11" max="11" width="15.5703125" style="53" customWidth="1"/>
    <col min="12" max="12" width="13.140625" style="53" customWidth="1"/>
    <col min="13" max="256" width="9.140625" style="53"/>
    <col min="257" max="257" width="24.85546875" style="53" customWidth="1"/>
    <col min="258" max="258" width="14.140625" style="53" customWidth="1"/>
    <col min="259" max="259" width="14.28515625" style="53" customWidth="1"/>
    <col min="260" max="260" width="69.7109375" style="53" customWidth="1"/>
    <col min="261" max="261" width="17.140625" style="53" customWidth="1"/>
    <col min="262" max="262" width="15.5703125" style="53" customWidth="1"/>
    <col min="263" max="267" width="14.140625" style="53" customWidth="1"/>
    <col min="268" max="268" width="3.140625" style="53" customWidth="1"/>
    <col min="269" max="512" width="9.140625" style="53"/>
    <col min="513" max="513" width="24.85546875" style="53" customWidth="1"/>
    <col min="514" max="514" width="14.140625" style="53" customWidth="1"/>
    <col min="515" max="515" width="14.28515625" style="53" customWidth="1"/>
    <col min="516" max="516" width="69.7109375" style="53" customWidth="1"/>
    <col min="517" max="517" width="17.140625" style="53" customWidth="1"/>
    <col min="518" max="518" width="15.5703125" style="53" customWidth="1"/>
    <col min="519" max="523" width="14.140625" style="53" customWidth="1"/>
    <col min="524" max="524" width="3.140625" style="53" customWidth="1"/>
    <col min="525" max="768" width="9.140625" style="53"/>
    <col min="769" max="769" width="24.85546875" style="53" customWidth="1"/>
    <col min="770" max="770" width="14.140625" style="53" customWidth="1"/>
    <col min="771" max="771" width="14.28515625" style="53" customWidth="1"/>
    <col min="772" max="772" width="69.7109375" style="53" customWidth="1"/>
    <col min="773" max="773" width="17.140625" style="53" customWidth="1"/>
    <col min="774" max="774" width="15.5703125" style="53" customWidth="1"/>
    <col min="775" max="779" width="14.140625" style="53" customWidth="1"/>
    <col min="780" max="780" width="3.140625" style="53" customWidth="1"/>
    <col min="781" max="1024" width="9.140625" style="53"/>
    <col min="1025" max="1025" width="24.85546875" style="53" customWidth="1"/>
    <col min="1026" max="1026" width="14.140625" style="53" customWidth="1"/>
    <col min="1027" max="1027" width="14.28515625" style="53" customWidth="1"/>
    <col min="1028" max="1028" width="69.7109375" style="53" customWidth="1"/>
    <col min="1029" max="1029" width="17.140625" style="53" customWidth="1"/>
    <col min="1030" max="1030" width="15.5703125" style="53" customWidth="1"/>
    <col min="1031" max="1035" width="14.140625" style="53" customWidth="1"/>
    <col min="1036" max="1036" width="3.140625" style="53" customWidth="1"/>
    <col min="1037" max="1280" width="9.140625" style="53"/>
    <col min="1281" max="1281" width="24.85546875" style="53" customWidth="1"/>
    <col min="1282" max="1282" width="14.140625" style="53" customWidth="1"/>
    <col min="1283" max="1283" width="14.28515625" style="53" customWidth="1"/>
    <col min="1284" max="1284" width="69.7109375" style="53" customWidth="1"/>
    <col min="1285" max="1285" width="17.140625" style="53" customWidth="1"/>
    <col min="1286" max="1286" width="15.5703125" style="53" customWidth="1"/>
    <col min="1287" max="1291" width="14.140625" style="53" customWidth="1"/>
    <col min="1292" max="1292" width="3.140625" style="53" customWidth="1"/>
    <col min="1293" max="1536" width="9.140625" style="53"/>
    <col min="1537" max="1537" width="24.85546875" style="53" customWidth="1"/>
    <col min="1538" max="1538" width="14.140625" style="53" customWidth="1"/>
    <col min="1539" max="1539" width="14.28515625" style="53" customWidth="1"/>
    <col min="1540" max="1540" width="69.7109375" style="53" customWidth="1"/>
    <col min="1541" max="1541" width="17.140625" style="53" customWidth="1"/>
    <col min="1542" max="1542" width="15.5703125" style="53" customWidth="1"/>
    <col min="1543" max="1547" width="14.140625" style="53" customWidth="1"/>
    <col min="1548" max="1548" width="3.140625" style="53" customWidth="1"/>
    <col min="1549" max="1792" width="9.140625" style="53"/>
    <col min="1793" max="1793" width="24.85546875" style="53" customWidth="1"/>
    <col min="1794" max="1794" width="14.140625" style="53" customWidth="1"/>
    <col min="1795" max="1795" width="14.28515625" style="53" customWidth="1"/>
    <col min="1796" max="1796" width="69.7109375" style="53" customWidth="1"/>
    <col min="1797" max="1797" width="17.140625" style="53" customWidth="1"/>
    <col min="1798" max="1798" width="15.5703125" style="53" customWidth="1"/>
    <col min="1799" max="1803" width="14.140625" style="53" customWidth="1"/>
    <col min="1804" max="1804" width="3.140625" style="53" customWidth="1"/>
    <col min="1805" max="2048" width="9.140625" style="53"/>
    <col min="2049" max="2049" width="24.85546875" style="53" customWidth="1"/>
    <col min="2050" max="2050" width="14.140625" style="53" customWidth="1"/>
    <col min="2051" max="2051" width="14.28515625" style="53" customWidth="1"/>
    <col min="2052" max="2052" width="69.7109375" style="53" customWidth="1"/>
    <col min="2053" max="2053" width="17.140625" style="53" customWidth="1"/>
    <col min="2054" max="2054" width="15.5703125" style="53" customWidth="1"/>
    <col min="2055" max="2059" width="14.140625" style="53" customWidth="1"/>
    <col min="2060" max="2060" width="3.140625" style="53" customWidth="1"/>
    <col min="2061" max="2304" width="9.140625" style="53"/>
    <col min="2305" max="2305" width="24.85546875" style="53" customWidth="1"/>
    <col min="2306" max="2306" width="14.140625" style="53" customWidth="1"/>
    <col min="2307" max="2307" width="14.28515625" style="53" customWidth="1"/>
    <col min="2308" max="2308" width="69.7109375" style="53" customWidth="1"/>
    <col min="2309" max="2309" width="17.140625" style="53" customWidth="1"/>
    <col min="2310" max="2310" width="15.5703125" style="53" customWidth="1"/>
    <col min="2311" max="2315" width="14.140625" style="53" customWidth="1"/>
    <col min="2316" max="2316" width="3.140625" style="53" customWidth="1"/>
    <col min="2317" max="2560" width="9.140625" style="53"/>
    <col min="2561" max="2561" width="24.85546875" style="53" customWidth="1"/>
    <col min="2562" max="2562" width="14.140625" style="53" customWidth="1"/>
    <col min="2563" max="2563" width="14.28515625" style="53" customWidth="1"/>
    <col min="2564" max="2564" width="69.7109375" style="53" customWidth="1"/>
    <col min="2565" max="2565" width="17.140625" style="53" customWidth="1"/>
    <col min="2566" max="2566" width="15.5703125" style="53" customWidth="1"/>
    <col min="2567" max="2571" width="14.140625" style="53" customWidth="1"/>
    <col min="2572" max="2572" width="3.140625" style="53" customWidth="1"/>
    <col min="2573" max="2816" width="9.140625" style="53"/>
    <col min="2817" max="2817" width="24.85546875" style="53" customWidth="1"/>
    <col min="2818" max="2818" width="14.140625" style="53" customWidth="1"/>
    <col min="2819" max="2819" width="14.28515625" style="53" customWidth="1"/>
    <col min="2820" max="2820" width="69.7109375" style="53" customWidth="1"/>
    <col min="2821" max="2821" width="17.140625" style="53" customWidth="1"/>
    <col min="2822" max="2822" width="15.5703125" style="53" customWidth="1"/>
    <col min="2823" max="2827" width="14.140625" style="53" customWidth="1"/>
    <col min="2828" max="2828" width="3.140625" style="53" customWidth="1"/>
    <col min="2829" max="3072" width="9.140625" style="53"/>
    <col min="3073" max="3073" width="24.85546875" style="53" customWidth="1"/>
    <col min="3074" max="3074" width="14.140625" style="53" customWidth="1"/>
    <col min="3075" max="3075" width="14.28515625" style="53" customWidth="1"/>
    <col min="3076" max="3076" width="69.7109375" style="53" customWidth="1"/>
    <col min="3077" max="3077" width="17.140625" style="53" customWidth="1"/>
    <col min="3078" max="3078" width="15.5703125" style="53" customWidth="1"/>
    <col min="3079" max="3083" width="14.140625" style="53" customWidth="1"/>
    <col min="3084" max="3084" width="3.140625" style="53" customWidth="1"/>
    <col min="3085" max="3328" width="9.140625" style="53"/>
    <col min="3329" max="3329" width="24.85546875" style="53" customWidth="1"/>
    <col min="3330" max="3330" width="14.140625" style="53" customWidth="1"/>
    <col min="3331" max="3331" width="14.28515625" style="53" customWidth="1"/>
    <col min="3332" max="3332" width="69.7109375" style="53" customWidth="1"/>
    <col min="3333" max="3333" width="17.140625" style="53" customWidth="1"/>
    <col min="3334" max="3334" width="15.5703125" style="53" customWidth="1"/>
    <col min="3335" max="3339" width="14.140625" style="53" customWidth="1"/>
    <col min="3340" max="3340" width="3.140625" style="53" customWidth="1"/>
    <col min="3341" max="3584" width="9.140625" style="53"/>
    <col min="3585" max="3585" width="24.85546875" style="53" customWidth="1"/>
    <col min="3586" max="3586" width="14.140625" style="53" customWidth="1"/>
    <col min="3587" max="3587" width="14.28515625" style="53" customWidth="1"/>
    <col min="3588" max="3588" width="69.7109375" style="53" customWidth="1"/>
    <col min="3589" max="3589" width="17.140625" style="53" customWidth="1"/>
    <col min="3590" max="3590" width="15.5703125" style="53" customWidth="1"/>
    <col min="3591" max="3595" width="14.140625" style="53" customWidth="1"/>
    <col min="3596" max="3596" width="3.140625" style="53" customWidth="1"/>
    <col min="3597" max="3840" width="9.140625" style="53"/>
    <col min="3841" max="3841" width="24.85546875" style="53" customWidth="1"/>
    <col min="3842" max="3842" width="14.140625" style="53" customWidth="1"/>
    <col min="3843" max="3843" width="14.28515625" style="53" customWidth="1"/>
    <col min="3844" max="3844" width="69.7109375" style="53" customWidth="1"/>
    <col min="3845" max="3845" width="17.140625" style="53" customWidth="1"/>
    <col min="3846" max="3846" width="15.5703125" style="53" customWidth="1"/>
    <col min="3847" max="3851" width="14.140625" style="53" customWidth="1"/>
    <col min="3852" max="3852" width="3.140625" style="53" customWidth="1"/>
    <col min="3853" max="4096" width="9.140625" style="53"/>
    <col min="4097" max="4097" width="24.85546875" style="53" customWidth="1"/>
    <col min="4098" max="4098" width="14.140625" style="53" customWidth="1"/>
    <col min="4099" max="4099" width="14.28515625" style="53" customWidth="1"/>
    <col min="4100" max="4100" width="69.7109375" style="53" customWidth="1"/>
    <col min="4101" max="4101" width="17.140625" style="53" customWidth="1"/>
    <col min="4102" max="4102" width="15.5703125" style="53" customWidth="1"/>
    <col min="4103" max="4107" width="14.140625" style="53" customWidth="1"/>
    <col min="4108" max="4108" width="3.140625" style="53" customWidth="1"/>
    <col min="4109" max="4352" width="9.140625" style="53"/>
    <col min="4353" max="4353" width="24.85546875" style="53" customWidth="1"/>
    <col min="4354" max="4354" width="14.140625" style="53" customWidth="1"/>
    <col min="4355" max="4355" width="14.28515625" style="53" customWidth="1"/>
    <col min="4356" max="4356" width="69.7109375" style="53" customWidth="1"/>
    <col min="4357" max="4357" width="17.140625" style="53" customWidth="1"/>
    <col min="4358" max="4358" width="15.5703125" style="53" customWidth="1"/>
    <col min="4359" max="4363" width="14.140625" style="53" customWidth="1"/>
    <col min="4364" max="4364" width="3.140625" style="53" customWidth="1"/>
    <col min="4365" max="4608" width="9.140625" style="53"/>
    <col min="4609" max="4609" width="24.85546875" style="53" customWidth="1"/>
    <col min="4610" max="4610" width="14.140625" style="53" customWidth="1"/>
    <col min="4611" max="4611" width="14.28515625" style="53" customWidth="1"/>
    <col min="4612" max="4612" width="69.7109375" style="53" customWidth="1"/>
    <col min="4613" max="4613" width="17.140625" style="53" customWidth="1"/>
    <col min="4614" max="4614" width="15.5703125" style="53" customWidth="1"/>
    <col min="4615" max="4619" width="14.140625" style="53" customWidth="1"/>
    <col min="4620" max="4620" width="3.140625" style="53" customWidth="1"/>
    <col min="4621" max="4864" width="9.140625" style="53"/>
    <col min="4865" max="4865" width="24.85546875" style="53" customWidth="1"/>
    <col min="4866" max="4866" width="14.140625" style="53" customWidth="1"/>
    <col min="4867" max="4867" width="14.28515625" style="53" customWidth="1"/>
    <col min="4868" max="4868" width="69.7109375" style="53" customWidth="1"/>
    <col min="4869" max="4869" width="17.140625" style="53" customWidth="1"/>
    <col min="4870" max="4870" width="15.5703125" style="53" customWidth="1"/>
    <col min="4871" max="4875" width="14.140625" style="53" customWidth="1"/>
    <col min="4876" max="4876" width="3.140625" style="53" customWidth="1"/>
    <col min="4877" max="5120" width="9.140625" style="53"/>
    <col min="5121" max="5121" width="24.85546875" style="53" customWidth="1"/>
    <col min="5122" max="5122" width="14.140625" style="53" customWidth="1"/>
    <col min="5123" max="5123" width="14.28515625" style="53" customWidth="1"/>
    <col min="5124" max="5124" width="69.7109375" style="53" customWidth="1"/>
    <col min="5125" max="5125" width="17.140625" style="53" customWidth="1"/>
    <col min="5126" max="5126" width="15.5703125" style="53" customWidth="1"/>
    <col min="5127" max="5131" width="14.140625" style="53" customWidth="1"/>
    <col min="5132" max="5132" width="3.140625" style="53" customWidth="1"/>
    <col min="5133" max="5376" width="9.140625" style="53"/>
    <col min="5377" max="5377" width="24.85546875" style="53" customWidth="1"/>
    <col min="5378" max="5378" width="14.140625" style="53" customWidth="1"/>
    <col min="5379" max="5379" width="14.28515625" style="53" customWidth="1"/>
    <col min="5380" max="5380" width="69.7109375" style="53" customWidth="1"/>
    <col min="5381" max="5381" width="17.140625" style="53" customWidth="1"/>
    <col min="5382" max="5382" width="15.5703125" style="53" customWidth="1"/>
    <col min="5383" max="5387" width="14.140625" style="53" customWidth="1"/>
    <col min="5388" max="5388" width="3.140625" style="53" customWidth="1"/>
    <col min="5389" max="5632" width="9.140625" style="53"/>
    <col min="5633" max="5633" width="24.85546875" style="53" customWidth="1"/>
    <col min="5634" max="5634" width="14.140625" style="53" customWidth="1"/>
    <col min="5635" max="5635" width="14.28515625" style="53" customWidth="1"/>
    <col min="5636" max="5636" width="69.7109375" style="53" customWidth="1"/>
    <col min="5637" max="5637" width="17.140625" style="53" customWidth="1"/>
    <col min="5638" max="5638" width="15.5703125" style="53" customWidth="1"/>
    <col min="5639" max="5643" width="14.140625" style="53" customWidth="1"/>
    <col min="5644" max="5644" width="3.140625" style="53" customWidth="1"/>
    <col min="5645" max="5888" width="9.140625" style="53"/>
    <col min="5889" max="5889" width="24.85546875" style="53" customWidth="1"/>
    <col min="5890" max="5890" width="14.140625" style="53" customWidth="1"/>
    <col min="5891" max="5891" width="14.28515625" style="53" customWidth="1"/>
    <col min="5892" max="5892" width="69.7109375" style="53" customWidth="1"/>
    <col min="5893" max="5893" width="17.140625" style="53" customWidth="1"/>
    <col min="5894" max="5894" width="15.5703125" style="53" customWidth="1"/>
    <col min="5895" max="5899" width="14.140625" style="53" customWidth="1"/>
    <col min="5900" max="5900" width="3.140625" style="53" customWidth="1"/>
    <col min="5901" max="6144" width="9.140625" style="53"/>
    <col min="6145" max="6145" width="24.85546875" style="53" customWidth="1"/>
    <col min="6146" max="6146" width="14.140625" style="53" customWidth="1"/>
    <col min="6147" max="6147" width="14.28515625" style="53" customWidth="1"/>
    <col min="6148" max="6148" width="69.7109375" style="53" customWidth="1"/>
    <col min="6149" max="6149" width="17.140625" style="53" customWidth="1"/>
    <col min="6150" max="6150" width="15.5703125" style="53" customWidth="1"/>
    <col min="6151" max="6155" width="14.140625" style="53" customWidth="1"/>
    <col min="6156" max="6156" width="3.140625" style="53" customWidth="1"/>
    <col min="6157" max="6400" width="9.140625" style="53"/>
    <col min="6401" max="6401" width="24.85546875" style="53" customWidth="1"/>
    <col min="6402" max="6402" width="14.140625" style="53" customWidth="1"/>
    <col min="6403" max="6403" width="14.28515625" style="53" customWidth="1"/>
    <col min="6404" max="6404" width="69.7109375" style="53" customWidth="1"/>
    <col min="6405" max="6405" width="17.140625" style="53" customWidth="1"/>
    <col min="6406" max="6406" width="15.5703125" style="53" customWidth="1"/>
    <col min="6407" max="6411" width="14.140625" style="53" customWidth="1"/>
    <col min="6412" max="6412" width="3.140625" style="53" customWidth="1"/>
    <col min="6413" max="6656" width="9.140625" style="53"/>
    <col min="6657" max="6657" width="24.85546875" style="53" customWidth="1"/>
    <col min="6658" max="6658" width="14.140625" style="53" customWidth="1"/>
    <col min="6659" max="6659" width="14.28515625" style="53" customWidth="1"/>
    <col min="6660" max="6660" width="69.7109375" style="53" customWidth="1"/>
    <col min="6661" max="6661" width="17.140625" style="53" customWidth="1"/>
    <col min="6662" max="6662" width="15.5703125" style="53" customWidth="1"/>
    <col min="6663" max="6667" width="14.140625" style="53" customWidth="1"/>
    <col min="6668" max="6668" width="3.140625" style="53" customWidth="1"/>
    <col min="6669" max="6912" width="9.140625" style="53"/>
    <col min="6913" max="6913" width="24.85546875" style="53" customWidth="1"/>
    <col min="6914" max="6914" width="14.140625" style="53" customWidth="1"/>
    <col min="6915" max="6915" width="14.28515625" style="53" customWidth="1"/>
    <col min="6916" max="6916" width="69.7109375" style="53" customWidth="1"/>
    <col min="6917" max="6917" width="17.140625" style="53" customWidth="1"/>
    <col min="6918" max="6918" width="15.5703125" style="53" customWidth="1"/>
    <col min="6919" max="6923" width="14.140625" style="53" customWidth="1"/>
    <col min="6924" max="6924" width="3.140625" style="53" customWidth="1"/>
    <col min="6925" max="7168" width="9.140625" style="53"/>
    <col min="7169" max="7169" width="24.85546875" style="53" customWidth="1"/>
    <col min="7170" max="7170" width="14.140625" style="53" customWidth="1"/>
    <col min="7171" max="7171" width="14.28515625" style="53" customWidth="1"/>
    <col min="7172" max="7172" width="69.7109375" style="53" customWidth="1"/>
    <col min="7173" max="7173" width="17.140625" style="53" customWidth="1"/>
    <col min="7174" max="7174" width="15.5703125" style="53" customWidth="1"/>
    <col min="7175" max="7179" width="14.140625" style="53" customWidth="1"/>
    <col min="7180" max="7180" width="3.140625" style="53" customWidth="1"/>
    <col min="7181" max="7424" width="9.140625" style="53"/>
    <col min="7425" max="7425" width="24.85546875" style="53" customWidth="1"/>
    <col min="7426" max="7426" width="14.140625" style="53" customWidth="1"/>
    <col min="7427" max="7427" width="14.28515625" style="53" customWidth="1"/>
    <col min="7428" max="7428" width="69.7109375" style="53" customWidth="1"/>
    <col min="7429" max="7429" width="17.140625" style="53" customWidth="1"/>
    <col min="7430" max="7430" width="15.5703125" style="53" customWidth="1"/>
    <col min="7431" max="7435" width="14.140625" style="53" customWidth="1"/>
    <col min="7436" max="7436" width="3.140625" style="53" customWidth="1"/>
    <col min="7437" max="7680" width="9.140625" style="53"/>
    <col min="7681" max="7681" width="24.85546875" style="53" customWidth="1"/>
    <col min="7682" max="7682" width="14.140625" style="53" customWidth="1"/>
    <col min="7683" max="7683" width="14.28515625" style="53" customWidth="1"/>
    <col min="7684" max="7684" width="69.7109375" style="53" customWidth="1"/>
    <col min="7685" max="7685" width="17.140625" style="53" customWidth="1"/>
    <col min="7686" max="7686" width="15.5703125" style="53" customWidth="1"/>
    <col min="7687" max="7691" width="14.140625" style="53" customWidth="1"/>
    <col min="7692" max="7692" width="3.140625" style="53" customWidth="1"/>
    <col min="7693" max="7936" width="9.140625" style="53"/>
    <col min="7937" max="7937" width="24.85546875" style="53" customWidth="1"/>
    <col min="7938" max="7938" width="14.140625" style="53" customWidth="1"/>
    <col min="7939" max="7939" width="14.28515625" style="53" customWidth="1"/>
    <col min="7940" max="7940" width="69.7109375" style="53" customWidth="1"/>
    <col min="7941" max="7941" width="17.140625" style="53" customWidth="1"/>
    <col min="7942" max="7942" width="15.5703125" style="53" customWidth="1"/>
    <col min="7943" max="7947" width="14.140625" style="53" customWidth="1"/>
    <col min="7948" max="7948" width="3.140625" style="53" customWidth="1"/>
    <col min="7949" max="8192" width="9.140625" style="53"/>
    <col min="8193" max="8193" width="24.85546875" style="53" customWidth="1"/>
    <col min="8194" max="8194" width="14.140625" style="53" customWidth="1"/>
    <col min="8195" max="8195" width="14.28515625" style="53" customWidth="1"/>
    <col min="8196" max="8196" width="69.7109375" style="53" customWidth="1"/>
    <col min="8197" max="8197" width="17.140625" style="53" customWidth="1"/>
    <col min="8198" max="8198" width="15.5703125" style="53" customWidth="1"/>
    <col min="8199" max="8203" width="14.140625" style="53" customWidth="1"/>
    <col min="8204" max="8204" width="3.140625" style="53" customWidth="1"/>
    <col min="8205" max="8448" width="9.140625" style="53"/>
    <col min="8449" max="8449" width="24.85546875" style="53" customWidth="1"/>
    <col min="8450" max="8450" width="14.140625" style="53" customWidth="1"/>
    <col min="8451" max="8451" width="14.28515625" style="53" customWidth="1"/>
    <col min="8452" max="8452" width="69.7109375" style="53" customWidth="1"/>
    <col min="8453" max="8453" width="17.140625" style="53" customWidth="1"/>
    <col min="8454" max="8454" width="15.5703125" style="53" customWidth="1"/>
    <col min="8455" max="8459" width="14.140625" style="53" customWidth="1"/>
    <col min="8460" max="8460" width="3.140625" style="53" customWidth="1"/>
    <col min="8461" max="8704" width="9.140625" style="53"/>
    <col min="8705" max="8705" width="24.85546875" style="53" customWidth="1"/>
    <col min="8706" max="8706" width="14.140625" style="53" customWidth="1"/>
    <col min="8707" max="8707" width="14.28515625" style="53" customWidth="1"/>
    <col min="8708" max="8708" width="69.7109375" style="53" customWidth="1"/>
    <col min="8709" max="8709" width="17.140625" style="53" customWidth="1"/>
    <col min="8710" max="8710" width="15.5703125" style="53" customWidth="1"/>
    <col min="8711" max="8715" width="14.140625" style="53" customWidth="1"/>
    <col min="8716" max="8716" width="3.140625" style="53" customWidth="1"/>
    <col min="8717" max="8960" width="9.140625" style="53"/>
    <col min="8961" max="8961" width="24.85546875" style="53" customWidth="1"/>
    <col min="8962" max="8962" width="14.140625" style="53" customWidth="1"/>
    <col min="8963" max="8963" width="14.28515625" style="53" customWidth="1"/>
    <col min="8964" max="8964" width="69.7109375" style="53" customWidth="1"/>
    <col min="8965" max="8965" width="17.140625" style="53" customWidth="1"/>
    <col min="8966" max="8966" width="15.5703125" style="53" customWidth="1"/>
    <col min="8967" max="8971" width="14.140625" style="53" customWidth="1"/>
    <col min="8972" max="8972" width="3.140625" style="53" customWidth="1"/>
    <col min="8973" max="9216" width="9.140625" style="53"/>
    <col min="9217" max="9217" width="24.85546875" style="53" customWidth="1"/>
    <col min="9218" max="9218" width="14.140625" style="53" customWidth="1"/>
    <col min="9219" max="9219" width="14.28515625" style="53" customWidth="1"/>
    <col min="9220" max="9220" width="69.7109375" style="53" customWidth="1"/>
    <col min="9221" max="9221" width="17.140625" style="53" customWidth="1"/>
    <col min="9222" max="9222" width="15.5703125" style="53" customWidth="1"/>
    <col min="9223" max="9227" width="14.140625" style="53" customWidth="1"/>
    <col min="9228" max="9228" width="3.140625" style="53" customWidth="1"/>
    <col min="9229" max="9472" width="9.140625" style="53"/>
    <col min="9473" max="9473" width="24.85546875" style="53" customWidth="1"/>
    <col min="9474" max="9474" width="14.140625" style="53" customWidth="1"/>
    <col min="9475" max="9475" width="14.28515625" style="53" customWidth="1"/>
    <col min="9476" max="9476" width="69.7109375" style="53" customWidth="1"/>
    <col min="9477" max="9477" width="17.140625" style="53" customWidth="1"/>
    <col min="9478" max="9478" width="15.5703125" style="53" customWidth="1"/>
    <col min="9479" max="9483" width="14.140625" style="53" customWidth="1"/>
    <col min="9484" max="9484" width="3.140625" style="53" customWidth="1"/>
    <col min="9485" max="9728" width="9.140625" style="53"/>
    <col min="9729" max="9729" width="24.85546875" style="53" customWidth="1"/>
    <col min="9730" max="9730" width="14.140625" style="53" customWidth="1"/>
    <col min="9731" max="9731" width="14.28515625" style="53" customWidth="1"/>
    <col min="9732" max="9732" width="69.7109375" style="53" customWidth="1"/>
    <col min="9733" max="9733" width="17.140625" style="53" customWidth="1"/>
    <col min="9734" max="9734" width="15.5703125" style="53" customWidth="1"/>
    <col min="9735" max="9739" width="14.140625" style="53" customWidth="1"/>
    <col min="9740" max="9740" width="3.140625" style="53" customWidth="1"/>
    <col min="9741" max="9984" width="9.140625" style="53"/>
    <col min="9985" max="9985" width="24.85546875" style="53" customWidth="1"/>
    <col min="9986" max="9986" width="14.140625" style="53" customWidth="1"/>
    <col min="9987" max="9987" width="14.28515625" style="53" customWidth="1"/>
    <col min="9988" max="9988" width="69.7109375" style="53" customWidth="1"/>
    <col min="9989" max="9989" width="17.140625" style="53" customWidth="1"/>
    <col min="9990" max="9990" width="15.5703125" style="53" customWidth="1"/>
    <col min="9991" max="9995" width="14.140625" style="53" customWidth="1"/>
    <col min="9996" max="9996" width="3.140625" style="53" customWidth="1"/>
    <col min="9997" max="10240" width="9.140625" style="53"/>
    <col min="10241" max="10241" width="24.85546875" style="53" customWidth="1"/>
    <col min="10242" max="10242" width="14.140625" style="53" customWidth="1"/>
    <col min="10243" max="10243" width="14.28515625" style="53" customWidth="1"/>
    <col min="10244" max="10244" width="69.7109375" style="53" customWidth="1"/>
    <col min="10245" max="10245" width="17.140625" style="53" customWidth="1"/>
    <col min="10246" max="10246" width="15.5703125" style="53" customWidth="1"/>
    <col min="10247" max="10251" width="14.140625" style="53" customWidth="1"/>
    <col min="10252" max="10252" width="3.140625" style="53" customWidth="1"/>
    <col min="10253" max="10496" width="9.140625" style="53"/>
    <col min="10497" max="10497" width="24.85546875" style="53" customWidth="1"/>
    <col min="10498" max="10498" width="14.140625" style="53" customWidth="1"/>
    <col min="10499" max="10499" width="14.28515625" style="53" customWidth="1"/>
    <col min="10500" max="10500" width="69.7109375" style="53" customWidth="1"/>
    <col min="10501" max="10501" width="17.140625" style="53" customWidth="1"/>
    <col min="10502" max="10502" width="15.5703125" style="53" customWidth="1"/>
    <col min="10503" max="10507" width="14.140625" style="53" customWidth="1"/>
    <col min="10508" max="10508" width="3.140625" style="53" customWidth="1"/>
    <col min="10509" max="10752" width="9.140625" style="53"/>
    <col min="10753" max="10753" width="24.85546875" style="53" customWidth="1"/>
    <col min="10754" max="10754" width="14.140625" style="53" customWidth="1"/>
    <col min="10755" max="10755" width="14.28515625" style="53" customWidth="1"/>
    <col min="10756" max="10756" width="69.7109375" style="53" customWidth="1"/>
    <col min="10757" max="10757" width="17.140625" style="53" customWidth="1"/>
    <col min="10758" max="10758" width="15.5703125" style="53" customWidth="1"/>
    <col min="10759" max="10763" width="14.140625" style="53" customWidth="1"/>
    <col min="10764" max="10764" width="3.140625" style="53" customWidth="1"/>
    <col min="10765" max="11008" width="9.140625" style="53"/>
    <col min="11009" max="11009" width="24.85546875" style="53" customWidth="1"/>
    <col min="11010" max="11010" width="14.140625" style="53" customWidth="1"/>
    <col min="11011" max="11011" width="14.28515625" style="53" customWidth="1"/>
    <col min="11012" max="11012" width="69.7109375" style="53" customWidth="1"/>
    <col min="11013" max="11013" width="17.140625" style="53" customWidth="1"/>
    <col min="11014" max="11014" width="15.5703125" style="53" customWidth="1"/>
    <col min="11015" max="11019" width="14.140625" style="53" customWidth="1"/>
    <col min="11020" max="11020" width="3.140625" style="53" customWidth="1"/>
    <col min="11021" max="11264" width="9.140625" style="53"/>
    <col min="11265" max="11265" width="24.85546875" style="53" customWidth="1"/>
    <col min="11266" max="11266" width="14.140625" style="53" customWidth="1"/>
    <col min="11267" max="11267" width="14.28515625" style="53" customWidth="1"/>
    <col min="11268" max="11268" width="69.7109375" style="53" customWidth="1"/>
    <col min="11269" max="11269" width="17.140625" style="53" customWidth="1"/>
    <col min="11270" max="11270" width="15.5703125" style="53" customWidth="1"/>
    <col min="11271" max="11275" width="14.140625" style="53" customWidth="1"/>
    <col min="11276" max="11276" width="3.140625" style="53" customWidth="1"/>
    <col min="11277" max="11520" width="9.140625" style="53"/>
    <col min="11521" max="11521" width="24.85546875" style="53" customWidth="1"/>
    <col min="11522" max="11522" width="14.140625" style="53" customWidth="1"/>
    <col min="11523" max="11523" width="14.28515625" style="53" customWidth="1"/>
    <col min="11524" max="11524" width="69.7109375" style="53" customWidth="1"/>
    <col min="11525" max="11525" width="17.140625" style="53" customWidth="1"/>
    <col min="11526" max="11526" width="15.5703125" style="53" customWidth="1"/>
    <col min="11527" max="11531" width="14.140625" style="53" customWidth="1"/>
    <col min="11532" max="11532" width="3.140625" style="53" customWidth="1"/>
    <col min="11533" max="11776" width="9.140625" style="53"/>
    <col min="11777" max="11777" width="24.85546875" style="53" customWidth="1"/>
    <col min="11778" max="11778" width="14.140625" style="53" customWidth="1"/>
    <col min="11779" max="11779" width="14.28515625" style="53" customWidth="1"/>
    <col min="11780" max="11780" width="69.7109375" style="53" customWidth="1"/>
    <col min="11781" max="11781" width="17.140625" style="53" customWidth="1"/>
    <col min="11782" max="11782" width="15.5703125" style="53" customWidth="1"/>
    <col min="11783" max="11787" width="14.140625" style="53" customWidth="1"/>
    <col min="11788" max="11788" width="3.140625" style="53" customWidth="1"/>
    <col min="11789" max="12032" width="9.140625" style="53"/>
    <col min="12033" max="12033" width="24.85546875" style="53" customWidth="1"/>
    <col min="12034" max="12034" width="14.140625" style="53" customWidth="1"/>
    <col min="12035" max="12035" width="14.28515625" style="53" customWidth="1"/>
    <col min="12036" max="12036" width="69.7109375" style="53" customWidth="1"/>
    <col min="12037" max="12037" width="17.140625" style="53" customWidth="1"/>
    <col min="12038" max="12038" width="15.5703125" style="53" customWidth="1"/>
    <col min="12039" max="12043" width="14.140625" style="53" customWidth="1"/>
    <col min="12044" max="12044" width="3.140625" style="53" customWidth="1"/>
    <col min="12045" max="12288" width="9.140625" style="53"/>
    <col min="12289" max="12289" width="24.85546875" style="53" customWidth="1"/>
    <col min="12290" max="12290" width="14.140625" style="53" customWidth="1"/>
    <col min="12291" max="12291" width="14.28515625" style="53" customWidth="1"/>
    <col min="12292" max="12292" width="69.7109375" style="53" customWidth="1"/>
    <col min="12293" max="12293" width="17.140625" style="53" customWidth="1"/>
    <col min="12294" max="12294" width="15.5703125" style="53" customWidth="1"/>
    <col min="12295" max="12299" width="14.140625" style="53" customWidth="1"/>
    <col min="12300" max="12300" width="3.140625" style="53" customWidth="1"/>
    <col min="12301" max="12544" width="9.140625" style="53"/>
    <col min="12545" max="12545" width="24.85546875" style="53" customWidth="1"/>
    <col min="12546" max="12546" width="14.140625" style="53" customWidth="1"/>
    <col min="12547" max="12547" width="14.28515625" style="53" customWidth="1"/>
    <col min="12548" max="12548" width="69.7109375" style="53" customWidth="1"/>
    <col min="12549" max="12549" width="17.140625" style="53" customWidth="1"/>
    <col min="12550" max="12550" width="15.5703125" style="53" customWidth="1"/>
    <col min="12551" max="12555" width="14.140625" style="53" customWidth="1"/>
    <col min="12556" max="12556" width="3.140625" style="53" customWidth="1"/>
    <col min="12557" max="12800" width="9.140625" style="53"/>
    <col min="12801" max="12801" width="24.85546875" style="53" customWidth="1"/>
    <col min="12802" max="12802" width="14.140625" style="53" customWidth="1"/>
    <col min="12803" max="12803" width="14.28515625" style="53" customWidth="1"/>
    <col min="12804" max="12804" width="69.7109375" style="53" customWidth="1"/>
    <col min="12805" max="12805" width="17.140625" style="53" customWidth="1"/>
    <col min="12806" max="12806" width="15.5703125" style="53" customWidth="1"/>
    <col min="12807" max="12811" width="14.140625" style="53" customWidth="1"/>
    <col min="12812" max="12812" width="3.140625" style="53" customWidth="1"/>
    <col min="12813" max="13056" width="9.140625" style="53"/>
    <col min="13057" max="13057" width="24.85546875" style="53" customWidth="1"/>
    <col min="13058" max="13058" width="14.140625" style="53" customWidth="1"/>
    <col min="13059" max="13059" width="14.28515625" style="53" customWidth="1"/>
    <col min="13060" max="13060" width="69.7109375" style="53" customWidth="1"/>
    <col min="13061" max="13061" width="17.140625" style="53" customWidth="1"/>
    <col min="13062" max="13062" width="15.5703125" style="53" customWidth="1"/>
    <col min="13063" max="13067" width="14.140625" style="53" customWidth="1"/>
    <col min="13068" max="13068" width="3.140625" style="53" customWidth="1"/>
    <col min="13069" max="13312" width="9.140625" style="53"/>
    <col min="13313" max="13313" width="24.85546875" style="53" customWidth="1"/>
    <col min="13314" max="13314" width="14.140625" style="53" customWidth="1"/>
    <col min="13315" max="13315" width="14.28515625" style="53" customWidth="1"/>
    <col min="13316" max="13316" width="69.7109375" style="53" customWidth="1"/>
    <col min="13317" max="13317" width="17.140625" style="53" customWidth="1"/>
    <col min="13318" max="13318" width="15.5703125" style="53" customWidth="1"/>
    <col min="13319" max="13323" width="14.140625" style="53" customWidth="1"/>
    <col min="13324" max="13324" width="3.140625" style="53" customWidth="1"/>
    <col min="13325" max="13568" width="9.140625" style="53"/>
    <col min="13569" max="13569" width="24.85546875" style="53" customWidth="1"/>
    <col min="13570" max="13570" width="14.140625" style="53" customWidth="1"/>
    <col min="13571" max="13571" width="14.28515625" style="53" customWidth="1"/>
    <col min="13572" max="13572" width="69.7109375" style="53" customWidth="1"/>
    <col min="13573" max="13573" width="17.140625" style="53" customWidth="1"/>
    <col min="13574" max="13574" width="15.5703125" style="53" customWidth="1"/>
    <col min="13575" max="13579" width="14.140625" style="53" customWidth="1"/>
    <col min="13580" max="13580" width="3.140625" style="53" customWidth="1"/>
    <col min="13581" max="13824" width="9.140625" style="53"/>
    <col min="13825" max="13825" width="24.85546875" style="53" customWidth="1"/>
    <col min="13826" max="13826" width="14.140625" style="53" customWidth="1"/>
    <col min="13827" max="13827" width="14.28515625" style="53" customWidth="1"/>
    <col min="13828" max="13828" width="69.7109375" style="53" customWidth="1"/>
    <col min="13829" max="13829" width="17.140625" style="53" customWidth="1"/>
    <col min="13830" max="13830" width="15.5703125" style="53" customWidth="1"/>
    <col min="13831" max="13835" width="14.140625" style="53" customWidth="1"/>
    <col min="13836" max="13836" width="3.140625" style="53" customWidth="1"/>
    <col min="13837" max="14080" width="9.140625" style="53"/>
    <col min="14081" max="14081" width="24.85546875" style="53" customWidth="1"/>
    <col min="14082" max="14082" width="14.140625" style="53" customWidth="1"/>
    <col min="14083" max="14083" width="14.28515625" style="53" customWidth="1"/>
    <col min="14084" max="14084" width="69.7109375" style="53" customWidth="1"/>
    <col min="14085" max="14085" width="17.140625" style="53" customWidth="1"/>
    <col min="14086" max="14086" width="15.5703125" style="53" customWidth="1"/>
    <col min="14087" max="14091" width="14.140625" style="53" customWidth="1"/>
    <col min="14092" max="14092" width="3.140625" style="53" customWidth="1"/>
    <col min="14093" max="14336" width="9.140625" style="53"/>
    <col min="14337" max="14337" width="24.85546875" style="53" customWidth="1"/>
    <col min="14338" max="14338" width="14.140625" style="53" customWidth="1"/>
    <col min="14339" max="14339" width="14.28515625" style="53" customWidth="1"/>
    <col min="14340" max="14340" width="69.7109375" style="53" customWidth="1"/>
    <col min="14341" max="14341" width="17.140625" style="53" customWidth="1"/>
    <col min="14342" max="14342" width="15.5703125" style="53" customWidth="1"/>
    <col min="14343" max="14347" width="14.140625" style="53" customWidth="1"/>
    <col min="14348" max="14348" width="3.140625" style="53" customWidth="1"/>
    <col min="14349" max="14592" width="9.140625" style="53"/>
    <col min="14593" max="14593" width="24.85546875" style="53" customWidth="1"/>
    <col min="14594" max="14594" width="14.140625" style="53" customWidth="1"/>
    <col min="14595" max="14595" width="14.28515625" style="53" customWidth="1"/>
    <col min="14596" max="14596" width="69.7109375" style="53" customWidth="1"/>
    <col min="14597" max="14597" width="17.140625" style="53" customWidth="1"/>
    <col min="14598" max="14598" width="15.5703125" style="53" customWidth="1"/>
    <col min="14599" max="14603" width="14.140625" style="53" customWidth="1"/>
    <col min="14604" max="14604" width="3.140625" style="53" customWidth="1"/>
    <col min="14605" max="14848" width="9.140625" style="53"/>
    <col min="14849" max="14849" width="24.85546875" style="53" customWidth="1"/>
    <col min="14850" max="14850" width="14.140625" style="53" customWidth="1"/>
    <col min="14851" max="14851" width="14.28515625" style="53" customWidth="1"/>
    <col min="14852" max="14852" width="69.7109375" style="53" customWidth="1"/>
    <col min="14853" max="14853" width="17.140625" style="53" customWidth="1"/>
    <col min="14854" max="14854" width="15.5703125" style="53" customWidth="1"/>
    <col min="14855" max="14859" width="14.140625" style="53" customWidth="1"/>
    <col min="14860" max="14860" width="3.140625" style="53" customWidth="1"/>
    <col min="14861" max="15104" width="9.140625" style="53"/>
    <col min="15105" max="15105" width="24.85546875" style="53" customWidth="1"/>
    <col min="15106" max="15106" width="14.140625" style="53" customWidth="1"/>
    <col min="15107" max="15107" width="14.28515625" style="53" customWidth="1"/>
    <col min="15108" max="15108" width="69.7109375" style="53" customWidth="1"/>
    <col min="15109" max="15109" width="17.140625" style="53" customWidth="1"/>
    <col min="15110" max="15110" width="15.5703125" style="53" customWidth="1"/>
    <col min="15111" max="15115" width="14.140625" style="53" customWidth="1"/>
    <col min="15116" max="15116" width="3.140625" style="53" customWidth="1"/>
    <col min="15117" max="15360" width="9.140625" style="53"/>
    <col min="15361" max="15361" width="24.85546875" style="53" customWidth="1"/>
    <col min="15362" max="15362" width="14.140625" style="53" customWidth="1"/>
    <col min="15363" max="15363" width="14.28515625" style="53" customWidth="1"/>
    <col min="15364" max="15364" width="69.7109375" style="53" customWidth="1"/>
    <col min="15365" max="15365" width="17.140625" style="53" customWidth="1"/>
    <col min="15366" max="15366" width="15.5703125" style="53" customWidth="1"/>
    <col min="15367" max="15371" width="14.140625" style="53" customWidth="1"/>
    <col min="15372" max="15372" width="3.140625" style="53" customWidth="1"/>
    <col min="15373" max="15616" width="9.140625" style="53"/>
    <col min="15617" max="15617" width="24.85546875" style="53" customWidth="1"/>
    <col min="15618" max="15618" width="14.140625" style="53" customWidth="1"/>
    <col min="15619" max="15619" width="14.28515625" style="53" customWidth="1"/>
    <col min="15620" max="15620" width="69.7109375" style="53" customWidth="1"/>
    <col min="15621" max="15621" width="17.140625" style="53" customWidth="1"/>
    <col min="15622" max="15622" width="15.5703125" style="53" customWidth="1"/>
    <col min="15623" max="15627" width="14.140625" style="53" customWidth="1"/>
    <col min="15628" max="15628" width="3.140625" style="53" customWidth="1"/>
    <col min="15629" max="15872" width="9.140625" style="53"/>
    <col min="15873" max="15873" width="24.85546875" style="53" customWidth="1"/>
    <col min="15874" max="15874" width="14.140625" style="53" customWidth="1"/>
    <col min="15875" max="15875" width="14.28515625" style="53" customWidth="1"/>
    <col min="15876" max="15876" width="69.7109375" style="53" customWidth="1"/>
    <col min="15877" max="15877" width="17.140625" style="53" customWidth="1"/>
    <col min="15878" max="15878" width="15.5703125" style="53" customWidth="1"/>
    <col min="15879" max="15883" width="14.140625" style="53" customWidth="1"/>
    <col min="15884" max="15884" width="3.140625" style="53" customWidth="1"/>
    <col min="15885" max="16128" width="9.140625" style="53"/>
    <col min="16129" max="16129" width="24.85546875" style="53" customWidth="1"/>
    <col min="16130" max="16130" width="14.140625" style="53" customWidth="1"/>
    <col min="16131" max="16131" width="14.28515625" style="53" customWidth="1"/>
    <col min="16132" max="16132" width="69.7109375" style="53" customWidth="1"/>
    <col min="16133" max="16133" width="17.140625" style="53" customWidth="1"/>
    <col min="16134" max="16134" width="15.5703125" style="53" customWidth="1"/>
    <col min="16135" max="16139" width="14.140625" style="53" customWidth="1"/>
    <col min="16140" max="16140" width="3.140625" style="53" customWidth="1"/>
    <col min="16141" max="16384" width="9.140625" style="53"/>
  </cols>
  <sheetData>
    <row r="1" spans="1:11" ht="15" customHeight="1" x14ac:dyDescent="0.2">
      <c r="A1" s="307" t="s">
        <v>503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15" customHeight="1" x14ac:dyDescent="0.2">
      <c r="A2" s="307" t="s">
        <v>178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x14ac:dyDescent="0.2">
      <c r="A3" s="307" t="s">
        <v>171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5" spans="1:11" ht="15" customHeight="1" x14ac:dyDescent="0.2">
      <c r="A5" s="314" t="s">
        <v>177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</row>
    <row r="6" spans="1:11" ht="16.5" customHeight="1" x14ac:dyDescent="0.2">
      <c r="A6" s="315" t="s">
        <v>112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</row>
    <row r="7" spans="1:11" ht="51" customHeight="1" x14ac:dyDescent="0.2">
      <c r="A7" s="316" t="s">
        <v>195</v>
      </c>
      <c r="B7" s="316" t="s">
        <v>196</v>
      </c>
      <c r="C7" s="318" t="s">
        <v>197</v>
      </c>
      <c r="D7" s="316" t="s">
        <v>108</v>
      </c>
      <c r="E7" s="316" t="s">
        <v>109</v>
      </c>
      <c r="F7" s="320" t="s">
        <v>110</v>
      </c>
      <c r="G7" s="321"/>
      <c r="H7" s="321"/>
      <c r="I7" s="321"/>
      <c r="J7" s="322"/>
      <c r="K7" s="318" t="s">
        <v>198</v>
      </c>
    </row>
    <row r="8" spans="1:11" ht="58.5" customHeight="1" x14ac:dyDescent="0.2">
      <c r="A8" s="316"/>
      <c r="B8" s="316"/>
      <c r="C8" s="319"/>
      <c r="D8" s="316"/>
      <c r="E8" s="316"/>
      <c r="F8" s="113" t="s">
        <v>5</v>
      </c>
      <c r="G8" s="113" t="s">
        <v>6</v>
      </c>
      <c r="H8" s="113" t="s">
        <v>104</v>
      </c>
      <c r="I8" s="113" t="s">
        <v>105</v>
      </c>
      <c r="J8" s="113" t="s">
        <v>106</v>
      </c>
      <c r="K8" s="319"/>
    </row>
    <row r="9" spans="1:11" ht="15.75" customHeight="1" x14ac:dyDescent="0.2">
      <c r="A9" s="114">
        <v>1</v>
      </c>
      <c r="B9" s="114">
        <v>2</v>
      </c>
      <c r="C9" s="114">
        <v>3</v>
      </c>
      <c r="D9" s="114">
        <v>4</v>
      </c>
      <c r="E9" s="114">
        <v>5</v>
      </c>
      <c r="F9" s="114">
        <v>6</v>
      </c>
      <c r="G9" s="114">
        <v>7</v>
      </c>
      <c r="H9" s="114">
        <v>8</v>
      </c>
      <c r="I9" s="114">
        <v>9</v>
      </c>
      <c r="J9" s="114">
        <v>10</v>
      </c>
      <c r="K9" s="114">
        <v>11</v>
      </c>
    </row>
    <row r="10" spans="1:11" ht="17.25" customHeight="1" x14ac:dyDescent="0.2">
      <c r="A10" s="312" t="s">
        <v>99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13"/>
    </row>
    <row r="11" spans="1:11" ht="60" x14ac:dyDescent="0.2">
      <c r="A11" s="223" t="s">
        <v>71</v>
      </c>
      <c r="B11" s="115" t="s">
        <v>407</v>
      </c>
      <c r="C11" s="224" t="s">
        <v>252</v>
      </c>
      <c r="D11" s="225" t="s">
        <v>111</v>
      </c>
      <c r="E11" s="116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/>
    </row>
    <row r="12" spans="1:11" ht="30" x14ac:dyDescent="0.2">
      <c r="A12" s="223" t="s">
        <v>66</v>
      </c>
      <c r="B12" s="115" t="s">
        <v>501</v>
      </c>
      <c r="C12" s="224" t="s">
        <v>252</v>
      </c>
      <c r="D12" s="225" t="s">
        <v>593</v>
      </c>
      <c r="E12" s="116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/>
    </row>
    <row r="13" spans="1:11" ht="30" x14ac:dyDescent="0.2">
      <c r="A13" s="223" t="s">
        <v>140</v>
      </c>
      <c r="B13" s="118" t="s">
        <v>502</v>
      </c>
      <c r="C13" s="224" t="s">
        <v>588</v>
      </c>
      <c r="D13" s="225" t="s">
        <v>593</v>
      </c>
      <c r="E13" s="117">
        <v>6</v>
      </c>
      <c r="F13" s="117">
        <v>3</v>
      </c>
      <c r="G13" s="119">
        <v>3</v>
      </c>
      <c r="H13" s="119">
        <v>3</v>
      </c>
      <c r="I13" s="119">
        <v>3</v>
      </c>
      <c r="J13" s="119">
        <v>3</v>
      </c>
      <c r="K13" s="119"/>
    </row>
    <row r="14" spans="1:11" ht="15.75" customHeight="1" x14ac:dyDescent="0.2">
      <c r="A14" s="323" t="s">
        <v>113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</row>
    <row r="15" spans="1:11" ht="30" x14ac:dyDescent="0.2">
      <c r="A15" s="227" t="s">
        <v>67</v>
      </c>
      <c r="B15" s="226" t="s">
        <v>448</v>
      </c>
      <c r="C15" s="125" t="s">
        <v>435</v>
      </c>
      <c r="D15" s="226" t="s">
        <v>111</v>
      </c>
      <c r="E15" s="117">
        <v>100</v>
      </c>
      <c r="F15" s="117" t="s">
        <v>426</v>
      </c>
      <c r="G15" s="117">
        <v>102</v>
      </c>
      <c r="H15" s="117">
        <v>104</v>
      </c>
      <c r="I15" s="117">
        <v>106</v>
      </c>
      <c r="J15" s="119">
        <v>106</v>
      </c>
      <c r="K15" s="117"/>
    </row>
    <row r="16" spans="1:11" ht="29.25" customHeight="1" x14ac:dyDescent="0.2">
      <c r="A16" s="227" t="s">
        <v>68</v>
      </c>
      <c r="B16" s="120" t="s">
        <v>433</v>
      </c>
      <c r="C16" s="125" t="s">
        <v>252</v>
      </c>
      <c r="D16" s="226" t="s">
        <v>434</v>
      </c>
      <c r="E16" s="117">
        <v>24.2</v>
      </c>
      <c r="F16" s="117">
        <v>24.8</v>
      </c>
      <c r="G16" s="117">
        <v>24.68</v>
      </c>
      <c r="H16" s="117">
        <v>25.17</v>
      </c>
      <c r="I16" s="117">
        <v>25.65</v>
      </c>
      <c r="J16" s="119">
        <v>25.65</v>
      </c>
      <c r="K16" s="117"/>
    </row>
    <row r="17" spans="1:11" ht="29.25" customHeight="1" x14ac:dyDescent="0.2">
      <c r="A17" s="223" t="s">
        <v>69</v>
      </c>
      <c r="B17" s="118" t="s">
        <v>174</v>
      </c>
      <c r="C17" s="118" t="s">
        <v>256</v>
      </c>
      <c r="D17" s="118" t="s">
        <v>87</v>
      </c>
      <c r="E17" s="117">
        <v>100</v>
      </c>
      <c r="F17" s="117">
        <v>200</v>
      </c>
      <c r="G17" s="117">
        <v>200</v>
      </c>
      <c r="H17" s="117">
        <v>250</v>
      </c>
      <c r="I17" s="117">
        <v>250</v>
      </c>
      <c r="J17" s="119">
        <v>250</v>
      </c>
      <c r="K17" s="117"/>
    </row>
    <row r="18" spans="1:11" ht="30" x14ac:dyDescent="0.2">
      <c r="A18" s="227" t="s">
        <v>218</v>
      </c>
      <c r="B18" s="120" t="s">
        <v>408</v>
      </c>
      <c r="C18" s="125" t="s">
        <v>252</v>
      </c>
      <c r="D18" s="120" t="s">
        <v>593</v>
      </c>
      <c r="E18" s="121">
        <v>1</v>
      </c>
      <c r="F18" s="121">
        <v>1</v>
      </c>
      <c r="G18" s="121">
        <v>1</v>
      </c>
      <c r="H18" s="121">
        <v>2</v>
      </c>
      <c r="I18" s="122">
        <v>2</v>
      </c>
      <c r="J18" s="122">
        <v>2</v>
      </c>
      <c r="K18" s="122"/>
    </row>
    <row r="19" spans="1:11" ht="16.5" customHeight="1" x14ac:dyDescent="0.2">
      <c r="A19" s="312" t="s">
        <v>101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3"/>
    </row>
    <row r="20" spans="1:11" ht="30" x14ac:dyDescent="0.2">
      <c r="A20" s="231" t="s">
        <v>220</v>
      </c>
      <c r="B20" s="232" t="s">
        <v>445</v>
      </c>
      <c r="C20" s="125" t="s">
        <v>435</v>
      </c>
      <c r="D20" s="232" t="s">
        <v>111</v>
      </c>
      <c r="E20" s="234">
        <v>100</v>
      </c>
      <c r="F20" s="234" t="s">
        <v>426</v>
      </c>
      <c r="G20" s="234">
        <v>102.5</v>
      </c>
      <c r="H20" s="234">
        <v>105</v>
      </c>
      <c r="I20" s="234">
        <v>107.5</v>
      </c>
      <c r="J20" s="126">
        <v>107.5</v>
      </c>
      <c r="K20" s="228"/>
    </row>
    <row r="21" spans="1:11" ht="15" x14ac:dyDescent="0.25">
      <c r="A21" s="231" t="s">
        <v>414</v>
      </c>
      <c r="B21" s="237" t="s">
        <v>446</v>
      </c>
      <c r="C21" s="125" t="s">
        <v>252</v>
      </c>
      <c r="D21" s="232" t="s">
        <v>434</v>
      </c>
      <c r="E21" s="126">
        <v>284</v>
      </c>
      <c r="F21" s="126">
        <v>305.7</v>
      </c>
      <c r="G21" s="126">
        <v>291.10000000000002</v>
      </c>
      <c r="H21" s="126">
        <v>298.2</v>
      </c>
      <c r="I21" s="126">
        <v>305.3</v>
      </c>
      <c r="J21" s="126">
        <v>305.3</v>
      </c>
      <c r="K21" s="233"/>
    </row>
    <row r="22" spans="1:11" ht="33" customHeight="1" x14ac:dyDescent="0.2">
      <c r="A22" s="231" t="s">
        <v>415</v>
      </c>
      <c r="B22" s="120" t="s">
        <v>409</v>
      </c>
      <c r="C22" s="120" t="s">
        <v>257</v>
      </c>
      <c r="D22" s="125" t="s">
        <v>593</v>
      </c>
      <c r="E22" s="234">
        <v>0</v>
      </c>
      <c r="F22" s="234">
        <v>0</v>
      </c>
      <c r="G22" s="234">
        <v>1</v>
      </c>
      <c r="H22" s="234">
        <v>1</v>
      </c>
      <c r="I22" s="234">
        <v>0</v>
      </c>
      <c r="J22" s="126">
        <v>0</v>
      </c>
      <c r="K22" s="228"/>
    </row>
    <row r="23" spans="1:11" ht="30" customHeight="1" x14ac:dyDescent="0.2">
      <c r="A23" s="231" t="s">
        <v>447</v>
      </c>
      <c r="B23" s="120" t="s">
        <v>410</v>
      </c>
      <c r="C23" s="120" t="s">
        <v>252</v>
      </c>
      <c r="D23" s="125" t="s">
        <v>111</v>
      </c>
      <c r="E23" s="127">
        <v>0</v>
      </c>
      <c r="F23" s="127">
        <v>0</v>
      </c>
      <c r="G23" s="127">
        <v>23</v>
      </c>
      <c r="H23" s="127">
        <v>53</v>
      </c>
      <c r="I23" s="127">
        <v>80</v>
      </c>
      <c r="J23" s="127">
        <v>100</v>
      </c>
      <c r="K23" s="228"/>
    </row>
    <row r="24" spans="1:11" ht="15" customHeight="1" x14ac:dyDescent="0.2">
      <c r="A24" s="323" t="s">
        <v>189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23"/>
    </row>
    <row r="25" spans="1:11" ht="30" x14ac:dyDescent="0.2">
      <c r="A25" s="231" t="s">
        <v>418</v>
      </c>
      <c r="B25" s="131" t="s">
        <v>443</v>
      </c>
      <c r="C25" s="125" t="s">
        <v>435</v>
      </c>
      <c r="D25" s="131" t="s">
        <v>111</v>
      </c>
      <c r="E25" s="234">
        <v>100</v>
      </c>
      <c r="F25" s="234" t="s">
        <v>426</v>
      </c>
      <c r="G25" s="234">
        <v>105</v>
      </c>
      <c r="H25" s="234">
        <v>110</v>
      </c>
      <c r="I25" s="234">
        <v>115</v>
      </c>
      <c r="J25" s="234">
        <v>120</v>
      </c>
      <c r="K25" s="234"/>
    </row>
    <row r="26" spans="1:11" ht="30" x14ac:dyDescent="0.2">
      <c r="A26" s="231" t="s">
        <v>419</v>
      </c>
      <c r="B26" s="131" t="s">
        <v>444</v>
      </c>
      <c r="C26" s="125" t="s">
        <v>252</v>
      </c>
      <c r="D26" s="131" t="s">
        <v>441</v>
      </c>
      <c r="E26" s="234">
        <v>5.8</v>
      </c>
      <c r="F26" s="234">
        <v>4.26</v>
      </c>
      <c r="G26" s="234">
        <v>6.09</v>
      </c>
      <c r="H26" s="234">
        <v>6.38</v>
      </c>
      <c r="I26" s="234">
        <v>6.67</v>
      </c>
      <c r="J26" s="234">
        <v>6.96</v>
      </c>
      <c r="K26" s="234"/>
    </row>
    <row r="27" spans="1:11" ht="30" x14ac:dyDescent="0.2">
      <c r="A27" s="231" t="s">
        <v>436</v>
      </c>
      <c r="B27" s="131" t="s">
        <v>438</v>
      </c>
      <c r="C27" s="125" t="s">
        <v>435</v>
      </c>
      <c r="D27" s="131" t="s">
        <v>111</v>
      </c>
      <c r="E27" s="234">
        <v>100</v>
      </c>
      <c r="F27" s="234" t="s">
        <v>426</v>
      </c>
      <c r="G27" s="234">
        <v>101</v>
      </c>
      <c r="H27" s="234">
        <v>102</v>
      </c>
      <c r="I27" s="234">
        <v>103</v>
      </c>
      <c r="J27" s="126">
        <v>103.01</v>
      </c>
      <c r="K27" s="234"/>
    </row>
    <row r="28" spans="1:11" ht="18.75" customHeight="1" x14ac:dyDescent="0.2">
      <c r="A28" s="231" t="s">
        <v>439</v>
      </c>
      <c r="B28" s="131" t="s">
        <v>440</v>
      </c>
      <c r="C28" s="125" t="s">
        <v>252</v>
      </c>
      <c r="D28" s="131" t="s">
        <v>441</v>
      </c>
      <c r="E28" s="234">
        <v>2.42</v>
      </c>
      <c r="F28" s="234">
        <v>2.2999999999999998</v>
      </c>
      <c r="G28" s="234">
        <v>2.44</v>
      </c>
      <c r="H28" s="234">
        <v>2.46</v>
      </c>
      <c r="I28" s="234">
        <v>2.4900000000000002</v>
      </c>
      <c r="J28" s="126">
        <v>2.4900000000000002</v>
      </c>
      <c r="K28" s="234"/>
    </row>
    <row r="29" spans="1:11" ht="26.25" customHeight="1" x14ac:dyDescent="0.2">
      <c r="A29" s="223" t="s">
        <v>442</v>
      </c>
      <c r="B29" s="118" t="s">
        <v>199</v>
      </c>
      <c r="C29" s="118" t="s">
        <v>252</v>
      </c>
      <c r="D29" s="123" t="s">
        <v>111</v>
      </c>
      <c r="E29" s="124">
        <v>5.56</v>
      </c>
      <c r="F29" s="124">
        <v>5.54</v>
      </c>
      <c r="G29" s="124">
        <v>5.57</v>
      </c>
      <c r="H29" s="124">
        <v>5.68</v>
      </c>
      <c r="I29" s="124">
        <v>5.74</v>
      </c>
      <c r="J29" s="288">
        <v>5.77</v>
      </c>
      <c r="K29" s="124"/>
    </row>
    <row r="30" spans="1:11" ht="14.25" customHeight="1" x14ac:dyDescent="0.2">
      <c r="A30" s="311" t="s">
        <v>191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13"/>
    </row>
    <row r="31" spans="1:11" ht="38.25" x14ac:dyDescent="0.2">
      <c r="A31" s="230" t="s">
        <v>416</v>
      </c>
      <c r="B31" s="120" t="s">
        <v>411</v>
      </c>
      <c r="C31" s="173" t="s">
        <v>264</v>
      </c>
      <c r="D31" s="120" t="s">
        <v>111</v>
      </c>
      <c r="E31" s="119">
        <v>50</v>
      </c>
      <c r="F31" s="119">
        <v>50</v>
      </c>
      <c r="G31" s="119">
        <v>50</v>
      </c>
      <c r="H31" s="119">
        <v>100</v>
      </c>
      <c r="I31" s="119">
        <v>100</v>
      </c>
      <c r="J31" s="119">
        <v>100</v>
      </c>
      <c r="K31" s="119"/>
    </row>
    <row r="32" spans="1:11" ht="30" customHeight="1" x14ac:dyDescent="0.2">
      <c r="A32" s="230" t="s">
        <v>505</v>
      </c>
      <c r="B32" s="120" t="s">
        <v>504</v>
      </c>
      <c r="C32" s="173" t="s">
        <v>252</v>
      </c>
      <c r="D32" s="120" t="s">
        <v>111</v>
      </c>
      <c r="E32" s="119">
        <v>100</v>
      </c>
      <c r="F32" s="119">
        <v>103</v>
      </c>
      <c r="G32" s="119">
        <v>105</v>
      </c>
      <c r="H32" s="119">
        <v>106</v>
      </c>
      <c r="I32" s="119">
        <v>110</v>
      </c>
      <c r="J32" s="119">
        <v>115</v>
      </c>
      <c r="K32" s="119"/>
    </row>
    <row r="33" spans="1:11" ht="18" customHeight="1" x14ac:dyDescent="0.2">
      <c r="A33" s="311" t="s">
        <v>116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3"/>
    </row>
    <row r="34" spans="1:11" ht="45" x14ac:dyDescent="0.2">
      <c r="A34" s="285" t="s">
        <v>417</v>
      </c>
      <c r="B34" s="125" t="s">
        <v>589</v>
      </c>
      <c r="C34" s="125" t="s">
        <v>590</v>
      </c>
      <c r="D34" s="120" t="s">
        <v>593</v>
      </c>
      <c r="E34" s="126">
        <v>0</v>
      </c>
      <c r="F34" s="126">
        <v>0</v>
      </c>
      <c r="G34" s="126">
        <v>0</v>
      </c>
      <c r="H34" s="126">
        <v>1</v>
      </c>
      <c r="I34" s="126">
        <v>1</v>
      </c>
      <c r="J34" s="126">
        <v>1</v>
      </c>
      <c r="K34" s="126"/>
    </row>
    <row r="35" spans="1:11" ht="60" x14ac:dyDescent="0.2">
      <c r="A35" s="285" t="s">
        <v>424</v>
      </c>
      <c r="B35" s="125" t="s">
        <v>496</v>
      </c>
      <c r="C35" s="286" t="s">
        <v>590</v>
      </c>
      <c r="D35" s="286" t="s">
        <v>594</v>
      </c>
      <c r="E35" s="126">
        <v>0</v>
      </c>
      <c r="F35" s="126">
        <v>0</v>
      </c>
      <c r="G35" s="126">
        <v>1</v>
      </c>
      <c r="H35" s="126">
        <v>2</v>
      </c>
      <c r="I35" s="126">
        <v>3</v>
      </c>
      <c r="J35" s="126">
        <v>3</v>
      </c>
      <c r="K35" s="126"/>
    </row>
    <row r="36" spans="1:11" ht="45" x14ac:dyDescent="0.2">
      <c r="A36" s="285" t="s">
        <v>591</v>
      </c>
      <c r="B36" s="125" t="s">
        <v>592</v>
      </c>
      <c r="C36" s="287" t="s">
        <v>590</v>
      </c>
      <c r="D36" s="287" t="s">
        <v>593</v>
      </c>
      <c r="E36" s="126">
        <v>0</v>
      </c>
      <c r="F36" s="126">
        <v>0</v>
      </c>
      <c r="G36" s="126">
        <v>2</v>
      </c>
      <c r="H36" s="126">
        <v>4</v>
      </c>
      <c r="I36" s="126">
        <v>4</v>
      </c>
      <c r="J36" s="126">
        <v>4</v>
      </c>
      <c r="K36" s="126"/>
    </row>
    <row r="37" spans="1:11" ht="14.25" x14ac:dyDescent="0.2">
      <c r="A37" s="317" t="s">
        <v>193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17"/>
    </row>
    <row r="38" spans="1:11" ht="21.75" customHeight="1" x14ac:dyDescent="0.2">
      <c r="A38" s="230" t="s">
        <v>412</v>
      </c>
      <c r="B38" s="120" t="s">
        <v>463</v>
      </c>
      <c r="C38" s="120" t="s">
        <v>252</v>
      </c>
      <c r="D38" s="131" t="s">
        <v>434</v>
      </c>
      <c r="E38" s="132">
        <v>190</v>
      </c>
      <c r="F38" s="132">
        <v>198.9</v>
      </c>
      <c r="G38" s="132">
        <v>286.8</v>
      </c>
      <c r="H38" s="132">
        <v>300.3</v>
      </c>
      <c r="I38" s="132">
        <v>304.3</v>
      </c>
      <c r="J38" s="132">
        <v>308.5</v>
      </c>
      <c r="K38" s="132"/>
    </row>
    <row r="39" spans="1:11" ht="30" x14ac:dyDescent="0.2">
      <c r="A39" s="230" t="s">
        <v>548</v>
      </c>
      <c r="B39" s="120" t="s">
        <v>550</v>
      </c>
      <c r="C39" s="273" t="s">
        <v>252</v>
      </c>
      <c r="D39" s="274" t="s">
        <v>556</v>
      </c>
      <c r="E39" s="275">
        <v>320.54000000000002</v>
      </c>
      <c r="F39" s="275">
        <v>323.27999999999997</v>
      </c>
      <c r="G39" s="275">
        <v>336.2</v>
      </c>
      <c r="H39" s="275">
        <v>344.4</v>
      </c>
      <c r="I39" s="275">
        <v>352.6</v>
      </c>
      <c r="J39" s="275">
        <v>360.8</v>
      </c>
      <c r="K39" s="275"/>
    </row>
    <row r="40" spans="1:11" ht="21.75" customHeight="1" x14ac:dyDescent="0.2">
      <c r="A40" s="230" t="s">
        <v>549</v>
      </c>
      <c r="B40" s="120" t="s">
        <v>551</v>
      </c>
      <c r="C40" s="273" t="s">
        <v>252</v>
      </c>
      <c r="D40" s="274" t="s">
        <v>557</v>
      </c>
      <c r="E40" s="275">
        <v>78</v>
      </c>
      <c r="F40" s="275">
        <v>80</v>
      </c>
      <c r="G40" s="275">
        <v>82</v>
      </c>
      <c r="H40" s="275">
        <v>84</v>
      </c>
      <c r="I40" s="275">
        <v>86</v>
      </c>
      <c r="J40" s="275">
        <v>88</v>
      </c>
      <c r="K40" s="275"/>
    </row>
    <row r="41" spans="1:11" s="54" customFormat="1" ht="14.25" x14ac:dyDescent="0.2">
      <c r="A41" s="308" t="s">
        <v>150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10"/>
    </row>
    <row r="42" spans="1:11" ht="65.25" customHeight="1" x14ac:dyDescent="0.2">
      <c r="A42" s="223" t="s">
        <v>413</v>
      </c>
      <c r="B42" s="125" t="s">
        <v>326</v>
      </c>
      <c r="C42" s="125" t="s">
        <v>256</v>
      </c>
      <c r="D42" s="125" t="s">
        <v>111</v>
      </c>
      <c r="E42" s="126">
        <v>85.7</v>
      </c>
      <c r="F42" s="127">
        <v>100</v>
      </c>
      <c r="G42" s="127">
        <v>100</v>
      </c>
      <c r="H42" s="127">
        <v>100</v>
      </c>
      <c r="I42" s="127">
        <v>100</v>
      </c>
      <c r="J42" s="127">
        <v>100</v>
      </c>
      <c r="K42" s="127"/>
    </row>
    <row r="43" spans="1:11" ht="48.75" customHeight="1" x14ac:dyDescent="0.2">
      <c r="A43" s="230" t="s">
        <v>427</v>
      </c>
      <c r="B43" s="246" t="s">
        <v>498</v>
      </c>
      <c r="C43" s="246" t="s">
        <v>252</v>
      </c>
      <c r="D43" s="246" t="s">
        <v>499</v>
      </c>
      <c r="E43" s="247">
        <v>1</v>
      </c>
      <c r="F43" s="245">
        <v>1.05</v>
      </c>
      <c r="G43" s="248" t="s">
        <v>426</v>
      </c>
      <c r="H43" s="248" t="s">
        <v>426</v>
      </c>
      <c r="I43" s="248" t="s">
        <v>426</v>
      </c>
      <c r="J43" s="248" t="s">
        <v>426</v>
      </c>
      <c r="K43" s="248"/>
    </row>
    <row r="44" spans="1:11" ht="65.25" customHeight="1" x14ac:dyDescent="0.2">
      <c r="A44" s="230" t="s">
        <v>497</v>
      </c>
      <c r="B44" s="246" t="s">
        <v>500</v>
      </c>
      <c r="C44" s="246" t="s">
        <v>252</v>
      </c>
      <c r="D44" s="246" t="s">
        <v>499</v>
      </c>
      <c r="E44" s="247">
        <v>1</v>
      </c>
      <c r="F44" s="245">
        <v>1.1499999999999999</v>
      </c>
      <c r="G44" s="248" t="s">
        <v>426</v>
      </c>
      <c r="H44" s="248" t="s">
        <v>426</v>
      </c>
      <c r="I44" s="248" t="s">
        <v>426</v>
      </c>
      <c r="J44" s="248" t="s">
        <v>426</v>
      </c>
      <c r="K44" s="248"/>
    </row>
    <row r="45" spans="1:11" ht="36" customHeight="1" x14ac:dyDescent="0.2">
      <c r="A45" s="223" t="s">
        <v>512</v>
      </c>
      <c r="B45" s="125" t="s">
        <v>437</v>
      </c>
      <c r="C45" s="125" t="s">
        <v>435</v>
      </c>
      <c r="D45" s="125" t="s">
        <v>111</v>
      </c>
      <c r="E45" s="126">
        <v>100</v>
      </c>
      <c r="F45" s="127" t="s">
        <v>426</v>
      </c>
      <c r="G45" s="127">
        <v>101</v>
      </c>
      <c r="H45" s="127">
        <v>103</v>
      </c>
      <c r="I45" s="127">
        <v>105</v>
      </c>
      <c r="J45" s="127">
        <v>107</v>
      </c>
      <c r="K45" s="127"/>
    </row>
    <row r="46" spans="1:11" ht="12.75" customHeight="1" x14ac:dyDescent="0.2">
      <c r="A46" s="55" t="s">
        <v>201</v>
      </c>
      <c r="K46" s="56"/>
    </row>
    <row r="47" spans="1:11" ht="12.75" customHeight="1" x14ac:dyDescent="0.2">
      <c r="A47" s="55"/>
      <c r="K47" s="56"/>
    </row>
  </sheetData>
  <mergeCells count="20">
    <mergeCell ref="K7:K8"/>
    <mergeCell ref="A14:K14"/>
    <mergeCell ref="A10:K10"/>
    <mergeCell ref="A24:K24"/>
    <mergeCell ref="A1:K1"/>
    <mergeCell ref="A2:K2"/>
    <mergeCell ref="A3:K3"/>
    <mergeCell ref="A41:K41"/>
    <mergeCell ref="A33:K33"/>
    <mergeCell ref="A30:K30"/>
    <mergeCell ref="A19:K19"/>
    <mergeCell ref="A5:K5"/>
    <mergeCell ref="A6:K6"/>
    <mergeCell ref="A7:A8"/>
    <mergeCell ref="B7:B8"/>
    <mergeCell ref="D7:D8"/>
    <mergeCell ref="E7:E8"/>
    <mergeCell ref="A37:K37"/>
    <mergeCell ref="C7:C8"/>
    <mergeCell ref="F7:J7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9"/>
  <sheetViews>
    <sheetView zoomScale="120" zoomScaleNormal="120" workbookViewId="0">
      <selection sqref="A1:K17"/>
    </sheetView>
  </sheetViews>
  <sheetFormatPr defaultRowHeight="15" x14ac:dyDescent="0.25"/>
  <cols>
    <col min="1" max="1" width="23" customWidth="1"/>
    <col min="2" max="2" width="10.85546875" customWidth="1"/>
    <col min="3" max="3" width="16.8554687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  <col min="12" max="12" width="9.140625" hidden="1" customWidth="1"/>
    <col min="13" max="13" width="0.7109375" customWidth="1"/>
  </cols>
  <sheetData>
    <row r="1" spans="1:11" x14ac:dyDescent="0.25">
      <c r="A1" s="307" t="s">
        <v>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x14ac:dyDescent="0.25">
      <c r="A2" s="307" t="s">
        <v>179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x14ac:dyDescent="0.25">
      <c r="A3" s="307" t="s">
        <v>171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1" x14ac:dyDescent="0.25">
      <c r="A4" s="1"/>
    </row>
    <row r="5" spans="1:11" x14ac:dyDescent="0.25">
      <c r="A5" s="328" t="s">
        <v>8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</row>
    <row r="6" spans="1:11" x14ac:dyDescent="0.25">
      <c r="A6" s="328" t="s">
        <v>117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</row>
    <row r="7" spans="1:11" x14ac:dyDescent="0.25">
      <c r="A7" s="328" t="s">
        <v>120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</row>
    <row r="8" spans="1:11" x14ac:dyDescent="0.25">
      <c r="A8" s="3"/>
    </row>
    <row r="9" spans="1:11" ht="38.25" customHeight="1" x14ac:dyDescent="0.25">
      <c r="A9" s="326" t="s">
        <v>9</v>
      </c>
      <c r="B9" s="327"/>
      <c r="C9" s="324" t="s">
        <v>98</v>
      </c>
      <c r="D9" s="324"/>
      <c r="E9" s="324"/>
      <c r="F9" s="324"/>
      <c r="G9" s="324"/>
      <c r="H9" s="324"/>
      <c r="I9" s="324"/>
      <c r="J9" s="324"/>
      <c r="K9" s="325"/>
    </row>
    <row r="10" spans="1:11" ht="27.75" customHeight="1" x14ac:dyDescent="0.25">
      <c r="A10" s="331" t="s">
        <v>202</v>
      </c>
      <c r="B10" s="332"/>
      <c r="C10" s="330" t="s">
        <v>16</v>
      </c>
      <c r="D10" s="330" t="s">
        <v>17</v>
      </c>
      <c r="E10" s="330"/>
      <c r="F10" s="329" t="s">
        <v>10</v>
      </c>
      <c r="G10" s="329"/>
      <c r="H10" s="329"/>
      <c r="I10" s="329"/>
      <c r="J10" s="329"/>
      <c r="K10" s="329"/>
    </row>
    <row r="11" spans="1:11" ht="31.5" hidden="1" customHeight="1" thickBot="1" x14ac:dyDescent="0.3">
      <c r="A11" s="331"/>
      <c r="B11" s="332"/>
      <c r="C11" s="330"/>
      <c r="D11" s="330"/>
      <c r="E11" s="330"/>
      <c r="F11" s="329"/>
      <c r="G11" s="329"/>
      <c r="H11" s="329"/>
      <c r="I11" s="329"/>
      <c r="J11" s="329"/>
      <c r="K11" s="329"/>
    </row>
    <row r="12" spans="1:11" ht="27.75" customHeight="1" x14ac:dyDescent="0.25">
      <c r="A12" s="331"/>
      <c r="B12" s="332"/>
      <c r="C12" s="330"/>
      <c r="D12" s="330"/>
      <c r="E12" s="330"/>
      <c r="F12" s="37" t="s">
        <v>5</v>
      </c>
      <c r="G12" s="37" t="s">
        <v>6</v>
      </c>
      <c r="H12" s="37" t="s">
        <v>104</v>
      </c>
      <c r="I12" s="37" t="s">
        <v>105</v>
      </c>
      <c r="J12" s="37" t="s">
        <v>106</v>
      </c>
      <c r="K12" s="37" t="s">
        <v>53</v>
      </c>
    </row>
    <row r="13" spans="1:11" ht="20.25" customHeight="1" x14ac:dyDescent="0.25">
      <c r="A13" s="331"/>
      <c r="B13" s="332"/>
      <c r="C13" s="330" t="s">
        <v>118</v>
      </c>
      <c r="D13" s="335" t="s">
        <v>12</v>
      </c>
      <c r="E13" s="335"/>
      <c r="F13" s="49">
        <f>F15+F16+F17</f>
        <v>0</v>
      </c>
      <c r="G13" s="103">
        <f>G15+G16+G17</f>
        <v>0</v>
      </c>
      <c r="H13" s="103">
        <f>H15+H16+H17</f>
        <v>0</v>
      </c>
      <c r="I13" s="103">
        <f>I15+I16+I17</f>
        <v>0</v>
      </c>
      <c r="J13" s="103">
        <f>J15+J16+J17</f>
        <v>0</v>
      </c>
      <c r="K13" s="103">
        <f>F13+G13+H13+I13+J13</f>
        <v>0</v>
      </c>
    </row>
    <row r="14" spans="1:11" ht="16.5" customHeight="1" x14ac:dyDescent="0.25">
      <c r="A14" s="331"/>
      <c r="B14" s="332"/>
      <c r="C14" s="330"/>
      <c r="D14" s="335" t="s">
        <v>13</v>
      </c>
      <c r="E14" s="335"/>
      <c r="F14" s="49"/>
      <c r="G14" s="49"/>
      <c r="H14" s="49"/>
      <c r="I14" s="49"/>
      <c r="J14" s="49"/>
      <c r="K14" s="103"/>
    </row>
    <row r="15" spans="1:11" ht="51" customHeight="1" x14ac:dyDescent="0.25">
      <c r="A15" s="331"/>
      <c r="B15" s="332"/>
      <c r="C15" s="330"/>
      <c r="D15" s="335" t="s">
        <v>119</v>
      </c>
      <c r="E15" s="335"/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103">
        <f>F15+G15+H15+I15+J15</f>
        <v>0</v>
      </c>
    </row>
    <row r="16" spans="1:11" ht="25.5" customHeight="1" x14ac:dyDescent="0.25">
      <c r="A16" s="331"/>
      <c r="B16" s="332"/>
      <c r="C16" s="330"/>
      <c r="D16" s="335" t="s">
        <v>14</v>
      </c>
      <c r="E16" s="335"/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103">
        <f>F16+G16+H16+I16+J16</f>
        <v>0</v>
      </c>
    </row>
    <row r="17" spans="1:11" ht="38.25" customHeight="1" x14ac:dyDescent="0.25">
      <c r="A17" s="333"/>
      <c r="B17" s="334"/>
      <c r="C17" s="330"/>
      <c r="D17" s="335" t="s">
        <v>15</v>
      </c>
      <c r="E17" s="335"/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103">
        <f>F17+G17+H17+I17+J17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1"/>
    </row>
  </sheetData>
  <mergeCells count="18">
    <mergeCell ref="F10:K11"/>
    <mergeCell ref="C10:C12"/>
    <mergeCell ref="D10:E12"/>
    <mergeCell ref="A10:B17"/>
    <mergeCell ref="D17:E17"/>
    <mergeCell ref="D15:E15"/>
    <mergeCell ref="C13:C17"/>
    <mergeCell ref="D13:E13"/>
    <mergeCell ref="D14:E14"/>
    <mergeCell ref="D16:E16"/>
    <mergeCell ref="A1:K1"/>
    <mergeCell ref="A2:K2"/>
    <mergeCell ref="A3:K3"/>
    <mergeCell ref="C9:K9"/>
    <mergeCell ref="A9:B9"/>
    <mergeCell ref="A5:K5"/>
    <mergeCell ref="A6:K6"/>
    <mergeCell ref="A7:K7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"/>
  <sheetViews>
    <sheetView zoomScale="120" zoomScaleNormal="120" workbookViewId="0">
      <selection sqref="A1:K16"/>
    </sheetView>
  </sheetViews>
  <sheetFormatPr defaultRowHeight="15" x14ac:dyDescent="0.25"/>
  <cols>
    <col min="1" max="1" width="18" customWidth="1"/>
    <col min="2" max="2" width="17.28515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307" t="s">
        <v>19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x14ac:dyDescent="0.25">
      <c r="A2" s="307" t="s">
        <v>179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x14ac:dyDescent="0.25">
      <c r="A3" s="307" t="s">
        <v>171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1" x14ac:dyDescent="0.25">
      <c r="A4" s="4"/>
    </row>
    <row r="5" spans="1:11" x14ac:dyDescent="0.25">
      <c r="A5" s="328" t="s">
        <v>20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</row>
    <row r="6" spans="1:11" x14ac:dyDescent="0.25">
      <c r="A6" s="336" t="s">
        <v>183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</row>
    <row r="7" spans="1:11" x14ac:dyDescent="0.25">
      <c r="A7" s="328" t="s">
        <v>120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</row>
    <row r="8" spans="1:11" x14ac:dyDescent="0.25">
      <c r="A8" s="3"/>
    </row>
    <row r="9" spans="1:11" ht="38.25" customHeight="1" x14ac:dyDescent="0.25">
      <c r="A9" s="335" t="s">
        <v>9</v>
      </c>
      <c r="B9" s="335"/>
      <c r="C9" s="324" t="s">
        <v>98</v>
      </c>
      <c r="D9" s="324"/>
      <c r="E9" s="324"/>
      <c r="F9" s="324"/>
      <c r="G9" s="324"/>
      <c r="H9" s="324"/>
      <c r="I9" s="324"/>
      <c r="J9" s="324"/>
      <c r="K9" s="325"/>
    </row>
    <row r="10" spans="1:11" ht="27.75" customHeight="1" x14ac:dyDescent="0.25">
      <c r="A10" s="331"/>
      <c r="B10" s="332"/>
      <c r="C10" s="330" t="s">
        <v>16</v>
      </c>
      <c r="D10" s="330" t="s">
        <v>17</v>
      </c>
      <c r="E10" s="330"/>
      <c r="F10" s="329" t="s">
        <v>10</v>
      </c>
      <c r="G10" s="329"/>
      <c r="H10" s="329"/>
      <c r="I10" s="329"/>
      <c r="J10" s="329"/>
      <c r="K10" s="329"/>
    </row>
    <row r="11" spans="1:11" ht="31.5" hidden="1" customHeight="1" x14ac:dyDescent="0.25">
      <c r="A11" s="331"/>
      <c r="B11" s="332"/>
      <c r="C11" s="330"/>
      <c r="D11" s="330"/>
      <c r="E11" s="330"/>
      <c r="F11" s="329"/>
      <c r="G11" s="329"/>
      <c r="H11" s="329"/>
      <c r="I11" s="329"/>
      <c r="J11" s="329"/>
      <c r="K11" s="329"/>
    </row>
    <row r="12" spans="1:11" ht="27.75" customHeight="1" x14ac:dyDescent="0.25">
      <c r="A12" s="331"/>
      <c r="B12" s="332"/>
      <c r="C12" s="330"/>
      <c r="D12" s="330"/>
      <c r="E12" s="330"/>
      <c r="F12" s="37" t="s">
        <v>5</v>
      </c>
      <c r="G12" s="37" t="s">
        <v>6</v>
      </c>
      <c r="H12" s="37" t="s">
        <v>104</v>
      </c>
      <c r="I12" s="37" t="s">
        <v>105</v>
      </c>
      <c r="J12" s="37" t="s">
        <v>106</v>
      </c>
      <c r="K12" s="37" t="s">
        <v>11</v>
      </c>
    </row>
    <row r="13" spans="1:11" ht="20.25" customHeight="1" x14ac:dyDescent="0.25">
      <c r="A13" s="331"/>
      <c r="B13" s="332"/>
      <c r="C13" s="330" t="s">
        <v>118</v>
      </c>
      <c r="D13" s="335" t="s">
        <v>93</v>
      </c>
      <c r="E13" s="335"/>
      <c r="F13" s="262">
        <f>F14+F15+F16</f>
        <v>22285.3</v>
      </c>
      <c r="G13" s="262">
        <f>G14+G15+G16</f>
        <v>17298.900000000001</v>
      </c>
      <c r="H13" s="262">
        <f>H14+H15+H16</f>
        <v>17036.8</v>
      </c>
      <c r="I13" s="262">
        <f>I14+I15+I16</f>
        <v>17090.099999999999</v>
      </c>
      <c r="J13" s="262">
        <f>J14+J15+J16</f>
        <v>17304.3</v>
      </c>
      <c r="K13" s="262">
        <f>F13+G13+H13+I13+J13</f>
        <v>91015.400000000009</v>
      </c>
    </row>
    <row r="14" spans="1:11" ht="51" customHeight="1" x14ac:dyDescent="0.25">
      <c r="A14" s="331"/>
      <c r="B14" s="332"/>
      <c r="C14" s="330"/>
      <c r="D14" s="335" t="s">
        <v>121</v>
      </c>
      <c r="E14" s="335"/>
      <c r="F14" s="262">
        <v>20920.599999999999</v>
      </c>
      <c r="G14" s="525">
        <v>17298.900000000001</v>
      </c>
      <c r="H14" s="262">
        <v>17036.8</v>
      </c>
      <c r="I14" s="262">
        <v>17090.099999999999</v>
      </c>
      <c r="J14" s="262">
        <v>17304.3</v>
      </c>
      <c r="K14" s="262">
        <f>F14+G14+H14+I14+J14</f>
        <v>89650.7</v>
      </c>
    </row>
    <row r="15" spans="1:11" ht="25.5" customHeight="1" x14ac:dyDescent="0.25">
      <c r="A15" s="331"/>
      <c r="B15" s="332"/>
      <c r="C15" s="330"/>
      <c r="D15" s="335" t="s">
        <v>14</v>
      </c>
      <c r="E15" s="335"/>
      <c r="F15" s="262">
        <v>1364.7</v>
      </c>
      <c r="G15" s="262">
        <v>0</v>
      </c>
      <c r="H15" s="262">
        <v>0</v>
      </c>
      <c r="I15" s="262">
        <v>0</v>
      </c>
      <c r="J15" s="262">
        <v>0</v>
      </c>
      <c r="K15" s="262">
        <f>F15+G15+H15+I15+J15</f>
        <v>1364.7</v>
      </c>
    </row>
    <row r="16" spans="1:11" ht="38.25" customHeight="1" x14ac:dyDescent="0.25">
      <c r="A16" s="333"/>
      <c r="B16" s="334"/>
      <c r="C16" s="330"/>
      <c r="D16" s="335" t="s">
        <v>15</v>
      </c>
      <c r="E16" s="335"/>
      <c r="F16" s="262">
        <v>0</v>
      </c>
      <c r="G16" s="262">
        <v>0</v>
      </c>
      <c r="H16" s="262">
        <v>0</v>
      </c>
      <c r="I16" s="262">
        <v>0</v>
      </c>
      <c r="J16" s="262">
        <v>0</v>
      </c>
      <c r="K16" s="262">
        <f>F16+G16+H16+I16+J16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4"/>
    </row>
  </sheetData>
  <mergeCells count="17">
    <mergeCell ref="D14:E14"/>
    <mergeCell ref="A9:B9"/>
    <mergeCell ref="C9:K9"/>
    <mergeCell ref="A10:B16"/>
    <mergeCell ref="A7:K7"/>
    <mergeCell ref="D15:E15"/>
    <mergeCell ref="D16:E16"/>
    <mergeCell ref="C10:C12"/>
    <mergeCell ref="D10:E12"/>
    <mergeCell ref="F10:K11"/>
    <mergeCell ref="C13:C16"/>
    <mergeCell ref="D13:E13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zoomScale="120" zoomScaleNormal="120" workbookViewId="0">
      <selection sqref="A1:K17"/>
    </sheetView>
  </sheetViews>
  <sheetFormatPr defaultRowHeight="15" x14ac:dyDescent="0.25"/>
  <cols>
    <col min="1" max="1" width="23" customWidth="1"/>
    <col min="2" max="2" width="18.57031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307" t="s">
        <v>21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x14ac:dyDescent="0.25">
      <c r="A2" s="307" t="s">
        <v>179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x14ac:dyDescent="0.25">
      <c r="A3" s="307" t="s">
        <v>171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1" x14ac:dyDescent="0.25">
      <c r="A4" s="4"/>
    </row>
    <row r="5" spans="1:11" x14ac:dyDescent="0.25">
      <c r="A5" s="328" t="s">
        <v>22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</row>
    <row r="6" spans="1:11" x14ac:dyDescent="0.25">
      <c r="A6" s="337" t="s">
        <v>185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</row>
    <row r="7" spans="1:11" x14ac:dyDescent="0.25">
      <c r="A7" s="328" t="s">
        <v>120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</row>
    <row r="8" spans="1:11" x14ac:dyDescent="0.25">
      <c r="A8" s="3"/>
    </row>
    <row r="9" spans="1:11" ht="38.25" customHeight="1" x14ac:dyDescent="0.25">
      <c r="A9" s="335" t="s">
        <v>9</v>
      </c>
      <c r="B9" s="335"/>
      <c r="C9" s="324" t="s">
        <v>98</v>
      </c>
      <c r="D9" s="324"/>
      <c r="E9" s="324"/>
      <c r="F9" s="324"/>
      <c r="G9" s="324"/>
      <c r="H9" s="324"/>
      <c r="I9" s="324"/>
      <c r="J9" s="324"/>
      <c r="K9" s="325"/>
    </row>
    <row r="10" spans="1:11" ht="27.75" customHeight="1" x14ac:dyDescent="0.25">
      <c r="A10" s="339" t="s">
        <v>18</v>
      </c>
      <c r="B10" s="340"/>
      <c r="C10" s="330" t="s">
        <v>16</v>
      </c>
      <c r="D10" s="330" t="s">
        <v>17</v>
      </c>
      <c r="E10" s="330"/>
      <c r="F10" s="338" t="s">
        <v>10</v>
      </c>
      <c r="G10" s="338"/>
      <c r="H10" s="338"/>
      <c r="I10" s="338"/>
      <c r="J10" s="338"/>
      <c r="K10" s="338"/>
    </row>
    <row r="11" spans="1:11" ht="31.5" hidden="1" customHeight="1" x14ac:dyDescent="0.25">
      <c r="A11" s="341"/>
      <c r="B11" s="342"/>
      <c r="C11" s="330"/>
      <c r="D11" s="330"/>
      <c r="E11" s="330"/>
      <c r="F11" s="338"/>
      <c r="G11" s="338"/>
      <c r="H11" s="338"/>
      <c r="I11" s="338"/>
      <c r="J11" s="338"/>
      <c r="K11" s="338"/>
    </row>
    <row r="12" spans="1:11" ht="27.75" customHeight="1" x14ac:dyDescent="0.25">
      <c r="A12" s="341"/>
      <c r="B12" s="342"/>
      <c r="C12" s="330"/>
      <c r="D12" s="330"/>
      <c r="E12" s="330"/>
      <c r="F12" s="51" t="s">
        <v>5</v>
      </c>
      <c r="G12" s="51" t="s">
        <v>6</v>
      </c>
      <c r="H12" s="51" t="s">
        <v>104</v>
      </c>
      <c r="I12" s="51" t="s">
        <v>105</v>
      </c>
      <c r="J12" s="29" t="s">
        <v>124</v>
      </c>
      <c r="K12" s="29" t="s">
        <v>11</v>
      </c>
    </row>
    <row r="13" spans="1:11" ht="20.25" customHeight="1" x14ac:dyDescent="0.25">
      <c r="A13" s="341"/>
      <c r="B13" s="342"/>
      <c r="C13" s="330" t="s">
        <v>118</v>
      </c>
      <c r="D13" s="335" t="s">
        <v>12</v>
      </c>
      <c r="E13" s="335"/>
      <c r="F13" s="262">
        <f t="shared" ref="F13:K13" si="0">F15+F16+F17</f>
        <v>63581</v>
      </c>
      <c r="G13" s="262">
        <f t="shared" si="0"/>
        <v>69978.899999999994</v>
      </c>
      <c r="H13" s="262">
        <f t="shared" si="0"/>
        <v>68139.7</v>
      </c>
      <c r="I13" s="262">
        <f t="shared" si="0"/>
        <v>78500.600000000006</v>
      </c>
      <c r="J13" s="262">
        <f t="shared" si="0"/>
        <v>82790.2</v>
      </c>
      <c r="K13" s="262">
        <f t="shared" si="0"/>
        <v>362990.39999999997</v>
      </c>
    </row>
    <row r="14" spans="1:11" ht="16.5" customHeight="1" x14ac:dyDescent="0.25">
      <c r="A14" s="341"/>
      <c r="B14" s="342"/>
      <c r="C14" s="330"/>
      <c r="D14" s="335" t="s">
        <v>13</v>
      </c>
      <c r="E14" s="335"/>
      <c r="F14" s="262"/>
      <c r="G14" s="262"/>
      <c r="H14" s="262"/>
      <c r="I14" s="262"/>
      <c r="J14" s="262"/>
      <c r="K14" s="262"/>
    </row>
    <row r="15" spans="1:11" ht="51" customHeight="1" x14ac:dyDescent="0.25">
      <c r="A15" s="341"/>
      <c r="B15" s="342"/>
      <c r="C15" s="330"/>
      <c r="D15" s="335" t="s">
        <v>125</v>
      </c>
      <c r="E15" s="335"/>
      <c r="F15" s="262">
        <v>59840.5</v>
      </c>
      <c r="G15" s="525">
        <v>69978.899999999994</v>
      </c>
      <c r="H15" s="525">
        <v>68139.7</v>
      </c>
      <c r="I15" s="262">
        <v>78500.600000000006</v>
      </c>
      <c r="J15" s="262">
        <v>82790.2</v>
      </c>
      <c r="K15" s="262">
        <f>F15+G15+H15+I15+J15</f>
        <v>359249.89999999997</v>
      </c>
    </row>
    <row r="16" spans="1:11" ht="25.5" customHeight="1" x14ac:dyDescent="0.25">
      <c r="A16" s="341"/>
      <c r="B16" s="342"/>
      <c r="C16" s="330"/>
      <c r="D16" s="335" t="s">
        <v>14</v>
      </c>
      <c r="E16" s="335"/>
      <c r="F16" s="262">
        <v>3740.5</v>
      </c>
      <c r="G16" s="262">
        <v>0</v>
      </c>
      <c r="H16" s="262">
        <v>0</v>
      </c>
      <c r="I16" s="262">
        <v>0</v>
      </c>
      <c r="J16" s="262">
        <v>0</v>
      </c>
      <c r="K16" s="262">
        <f>F16+G16+H16+I16+J16</f>
        <v>3740.5</v>
      </c>
    </row>
    <row r="17" spans="1:11" ht="38.25" customHeight="1" x14ac:dyDescent="0.25">
      <c r="A17" s="343"/>
      <c r="B17" s="344"/>
      <c r="C17" s="330"/>
      <c r="D17" s="335" t="s">
        <v>15</v>
      </c>
      <c r="E17" s="335"/>
      <c r="F17" s="262">
        <v>0</v>
      </c>
      <c r="G17" s="262">
        <v>0</v>
      </c>
      <c r="H17" s="262">
        <v>0</v>
      </c>
      <c r="I17" s="262">
        <v>0</v>
      </c>
      <c r="J17" s="262">
        <v>0</v>
      </c>
      <c r="K17" s="262">
        <f>F17+G17+H17+I17+J17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</row>
  </sheetData>
  <mergeCells count="18">
    <mergeCell ref="A10:B17"/>
    <mergeCell ref="D16:E16"/>
    <mergeCell ref="D17:E17"/>
    <mergeCell ref="C10:C12"/>
    <mergeCell ref="D10:E12"/>
    <mergeCell ref="F10:K11"/>
    <mergeCell ref="C13:C17"/>
    <mergeCell ref="D13:E13"/>
    <mergeCell ref="D14:E14"/>
    <mergeCell ref="D15:E15"/>
    <mergeCell ref="A9:B9"/>
    <mergeCell ref="C9:K9"/>
    <mergeCell ref="A7:K7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"/>
  <sheetViews>
    <sheetView zoomScale="120" zoomScaleNormal="120" workbookViewId="0">
      <selection sqref="A1:K17"/>
    </sheetView>
  </sheetViews>
  <sheetFormatPr defaultRowHeight="15" x14ac:dyDescent="0.25"/>
  <cols>
    <col min="1" max="1" width="23" customWidth="1"/>
    <col min="2" max="2" width="19.425781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307" t="s">
        <v>23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x14ac:dyDescent="0.25">
      <c r="A2" s="307" t="s">
        <v>179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x14ac:dyDescent="0.25">
      <c r="A3" s="307" t="s">
        <v>171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1" x14ac:dyDescent="0.25">
      <c r="A4" s="4"/>
    </row>
    <row r="5" spans="1:11" x14ac:dyDescent="0.25">
      <c r="A5" s="328" t="s">
        <v>24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</row>
    <row r="6" spans="1:11" ht="23.25" customHeight="1" x14ac:dyDescent="0.25">
      <c r="A6" s="345" t="s">
        <v>184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</row>
    <row r="7" spans="1:11" x14ac:dyDescent="0.25">
      <c r="A7" s="328" t="s">
        <v>120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</row>
    <row r="8" spans="1:11" x14ac:dyDescent="0.25">
      <c r="A8" s="3"/>
    </row>
    <row r="9" spans="1:11" ht="34.5" customHeight="1" x14ac:dyDescent="0.25">
      <c r="A9" s="335" t="s">
        <v>9</v>
      </c>
      <c r="B9" s="335"/>
      <c r="C9" s="324" t="s">
        <v>98</v>
      </c>
      <c r="D9" s="324"/>
      <c r="E9" s="324"/>
      <c r="F9" s="324"/>
      <c r="G9" s="324"/>
      <c r="H9" s="324"/>
      <c r="I9" s="324"/>
      <c r="J9" s="324"/>
      <c r="K9" s="325"/>
    </row>
    <row r="10" spans="1:11" ht="27.75" customHeight="1" x14ac:dyDescent="0.25">
      <c r="A10" s="339" t="s">
        <v>18</v>
      </c>
      <c r="B10" s="340"/>
      <c r="C10" s="330" t="s">
        <v>16</v>
      </c>
      <c r="D10" s="330" t="s">
        <v>17</v>
      </c>
      <c r="E10" s="330"/>
      <c r="F10" s="329" t="s">
        <v>10</v>
      </c>
      <c r="G10" s="329"/>
      <c r="H10" s="329"/>
      <c r="I10" s="329"/>
      <c r="J10" s="329"/>
      <c r="K10" s="329"/>
    </row>
    <row r="11" spans="1:11" ht="31.5" hidden="1" customHeight="1" x14ac:dyDescent="0.25">
      <c r="A11" s="341"/>
      <c r="B11" s="342"/>
      <c r="C11" s="330"/>
      <c r="D11" s="330"/>
      <c r="E11" s="330"/>
      <c r="F11" s="329"/>
      <c r="G11" s="329"/>
      <c r="H11" s="329"/>
      <c r="I11" s="329"/>
      <c r="J11" s="329"/>
      <c r="K11" s="329"/>
    </row>
    <row r="12" spans="1:11" ht="27.75" customHeight="1" x14ac:dyDescent="0.25">
      <c r="A12" s="341"/>
      <c r="B12" s="342"/>
      <c r="C12" s="330"/>
      <c r="D12" s="330"/>
      <c r="E12" s="330"/>
      <c r="F12" s="37" t="s">
        <v>5</v>
      </c>
      <c r="G12" s="37" t="s">
        <v>6</v>
      </c>
      <c r="H12" s="37" t="s">
        <v>104</v>
      </c>
      <c r="I12" s="37" t="s">
        <v>105</v>
      </c>
      <c r="J12" s="37" t="s">
        <v>124</v>
      </c>
      <c r="K12" s="37" t="s">
        <v>11</v>
      </c>
    </row>
    <row r="13" spans="1:11" ht="20.25" customHeight="1" x14ac:dyDescent="0.25">
      <c r="A13" s="341"/>
      <c r="B13" s="342"/>
      <c r="C13" s="330" t="s">
        <v>118</v>
      </c>
      <c r="D13" s="335" t="s">
        <v>12</v>
      </c>
      <c r="E13" s="335"/>
      <c r="F13" s="111">
        <f t="shared" ref="F13:K13" si="0">F15+F16+F17</f>
        <v>136867.30000000002</v>
      </c>
      <c r="G13" s="111">
        <f t="shared" si="0"/>
        <v>136347.1</v>
      </c>
      <c r="H13" s="111">
        <f t="shared" si="0"/>
        <v>135706.70000000001</v>
      </c>
      <c r="I13" s="111">
        <f t="shared" si="0"/>
        <v>143883.79999999999</v>
      </c>
      <c r="J13" s="111">
        <f t="shared" si="0"/>
        <v>150172.6</v>
      </c>
      <c r="K13" s="111">
        <f t="shared" si="0"/>
        <v>702977.49999999988</v>
      </c>
    </row>
    <row r="14" spans="1:11" ht="16.5" customHeight="1" x14ac:dyDescent="0.25">
      <c r="A14" s="341"/>
      <c r="B14" s="342"/>
      <c r="C14" s="330"/>
      <c r="D14" s="335" t="s">
        <v>13</v>
      </c>
      <c r="E14" s="335"/>
      <c r="F14" s="111"/>
      <c r="G14" s="111"/>
      <c r="H14" s="111"/>
      <c r="I14" s="111"/>
      <c r="J14" s="111"/>
      <c r="K14" s="111"/>
    </row>
    <row r="15" spans="1:11" ht="51" customHeight="1" x14ac:dyDescent="0.25">
      <c r="A15" s="341"/>
      <c r="B15" s="342"/>
      <c r="C15" s="330"/>
      <c r="D15" s="335" t="s">
        <v>127</v>
      </c>
      <c r="E15" s="335"/>
      <c r="F15" s="111">
        <v>125650.1</v>
      </c>
      <c r="G15" s="526">
        <v>136347.1</v>
      </c>
      <c r="H15" s="526">
        <v>135706.70000000001</v>
      </c>
      <c r="I15" s="111">
        <v>143883.79999999999</v>
      </c>
      <c r="J15" s="111">
        <v>150172.6</v>
      </c>
      <c r="K15" s="111">
        <f>F15+G15+H15+I15+J15</f>
        <v>691760.29999999993</v>
      </c>
    </row>
    <row r="16" spans="1:11" ht="25.5" customHeight="1" x14ac:dyDescent="0.25">
      <c r="A16" s="341"/>
      <c r="B16" s="342"/>
      <c r="C16" s="330"/>
      <c r="D16" s="335" t="s">
        <v>14</v>
      </c>
      <c r="E16" s="335"/>
      <c r="F16" s="111">
        <v>11217.2</v>
      </c>
      <c r="G16" s="111">
        <v>0</v>
      </c>
      <c r="H16" s="111">
        <v>0</v>
      </c>
      <c r="I16" s="111">
        <v>0</v>
      </c>
      <c r="J16" s="111">
        <v>0</v>
      </c>
      <c r="K16" s="111">
        <f>F16+G16+H16+I16+J16</f>
        <v>11217.2</v>
      </c>
    </row>
    <row r="17" spans="1:11" ht="38.25" customHeight="1" x14ac:dyDescent="0.25">
      <c r="A17" s="343"/>
      <c r="B17" s="344"/>
      <c r="C17" s="330"/>
      <c r="D17" s="335" t="s">
        <v>15</v>
      </c>
      <c r="E17" s="335"/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f>F17+G17+H17+I17+J17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</row>
  </sheetData>
  <mergeCells count="18">
    <mergeCell ref="A10:B17"/>
    <mergeCell ref="D16:E16"/>
    <mergeCell ref="D17:E17"/>
    <mergeCell ref="C10:C12"/>
    <mergeCell ref="D10:E12"/>
    <mergeCell ref="F10:K11"/>
    <mergeCell ref="C13:C17"/>
    <mergeCell ref="D13:E13"/>
    <mergeCell ref="D14:E14"/>
    <mergeCell ref="D15:E15"/>
    <mergeCell ref="A9:B9"/>
    <mergeCell ref="C9:K9"/>
    <mergeCell ref="A7:K7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9"/>
  <sheetViews>
    <sheetView zoomScale="120" zoomScaleNormal="120" zoomScaleSheetLayoutView="110" workbookViewId="0">
      <selection sqref="A1:K17"/>
    </sheetView>
  </sheetViews>
  <sheetFormatPr defaultRowHeight="15" x14ac:dyDescent="0.25"/>
  <cols>
    <col min="1" max="1" width="23" customWidth="1"/>
    <col min="2" max="2" width="19.710937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  <col min="13" max="13" width="9.42578125" bestFit="1" customWidth="1"/>
  </cols>
  <sheetData>
    <row r="1" spans="1:20" x14ac:dyDescent="0.25">
      <c r="A1" s="307" t="s">
        <v>25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20" x14ac:dyDescent="0.25">
      <c r="A2" s="307" t="s">
        <v>178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20" x14ac:dyDescent="0.25">
      <c r="A3" s="307" t="s">
        <v>171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20" x14ac:dyDescent="0.25">
      <c r="A4" s="50"/>
    </row>
    <row r="5" spans="1:20" x14ac:dyDescent="0.25">
      <c r="A5" s="328" t="s">
        <v>26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</row>
    <row r="6" spans="1:20" x14ac:dyDescent="0.25">
      <c r="A6" s="346" t="s">
        <v>192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</row>
    <row r="7" spans="1:20" x14ac:dyDescent="0.25">
      <c r="A7" s="328" t="s">
        <v>120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</row>
    <row r="8" spans="1:20" x14ac:dyDescent="0.25">
      <c r="A8" s="3"/>
    </row>
    <row r="9" spans="1:20" ht="38.25" customHeight="1" x14ac:dyDescent="0.25">
      <c r="A9" s="335" t="s">
        <v>9</v>
      </c>
      <c r="B9" s="335"/>
      <c r="C9" s="324" t="s">
        <v>98</v>
      </c>
      <c r="D9" s="324"/>
      <c r="E9" s="324"/>
      <c r="F9" s="324"/>
      <c r="G9" s="324"/>
      <c r="H9" s="324"/>
      <c r="I9" s="324"/>
      <c r="J9" s="324"/>
      <c r="K9" s="325"/>
    </row>
    <row r="10" spans="1:20" ht="27.75" customHeight="1" x14ac:dyDescent="0.25">
      <c r="A10" s="339" t="s">
        <v>18</v>
      </c>
      <c r="B10" s="340"/>
      <c r="C10" s="330" t="s">
        <v>16</v>
      </c>
      <c r="D10" s="330" t="s">
        <v>17</v>
      </c>
      <c r="E10" s="330"/>
      <c r="F10" s="338" t="s">
        <v>10</v>
      </c>
      <c r="G10" s="338"/>
      <c r="H10" s="338"/>
      <c r="I10" s="338"/>
      <c r="J10" s="338"/>
      <c r="K10" s="338"/>
      <c r="M10" s="5"/>
      <c r="N10" s="6"/>
      <c r="O10" s="5"/>
      <c r="P10" s="5"/>
      <c r="Q10" s="7"/>
      <c r="R10" s="5"/>
      <c r="S10" s="5"/>
      <c r="T10" s="5"/>
    </row>
    <row r="11" spans="1:20" ht="31.5" hidden="1" customHeight="1" x14ac:dyDescent="0.25">
      <c r="A11" s="341"/>
      <c r="B11" s="342"/>
      <c r="C11" s="330"/>
      <c r="D11" s="330"/>
      <c r="E11" s="330"/>
      <c r="F11" s="338"/>
      <c r="G11" s="338"/>
      <c r="H11" s="338"/>
      <c r="I11" s="338"/>
      <c r="J11" s="338"/>
      <c r="K11" s="338"/>
      <c r="M11" s="5"/>
      <c r="N11" s="6"/>
      <c r="O11" s="5"/>
      <c r="P11" s="5"/>
      <c r="Q11" s="7"/>
      <c r="R11" s="5"/>
      <c r="S11" s="5"/>
      <c r="T11" s="5"/>
    </row>
    <row r="12" spans="1:20" ht="27.75" customHeight="1" x14ac:dyDescent="0.25">
      <c r="A12" s="341"/>
      <c r="B12" s="342"/>
      <c r="C12" s="330"/>
      <c r="D12" s="330"/>
      <c r="E12" s="330"/>
      <c r="F12" s="57" t="s">
        <v>5</v>
      </c>
      <c r="G12" s="57" t="s">
        <v>6</v>
      </c>
      <c r="H12" s="57" t="s">
        <v>104</v>
      </c>
      <c r="I12" s="57" t="s">
        <v>105</v>
      </c>
      <c r="J12" s="51" t="s">
        <v>124</v>
      </c>
      <c r="K12" s="51" t="s">
        <v>11</v>
      </c>
      <c r="M12" s="5"/>
      <c r="N12" s="6"/>
      <c r="O12" s="5"/>
      <c r="P12" s="5"/>
      <c r="Q12" s="7"/>
      <c r="R12" s="5"/>
      <c r="S12" s="5"/>
      <c r="T12" s="5"/>
    </row>
    <row r="13" spans="1:20" ht="20.25" customHeight="1" x14ac:dyDescent="0.25">
      <c r="A13" s="341"/>
      <c r="B13" s="342"/>
      <c r="C13" s="330" t="s">
        <v>118</v>
      </c>
      <c r="D13" s="335" t="s">
        <v>12</v>
      </c>
      <c r="E13" s="335"/>
      <c r="F13" s="111">
        <f t="shared" ref="F13:K13" si="0">F15+F16+F17</f>
        <v>5330.2000000000007</v>
      </c>
      <c r="G13" s="111">
        <f t="shared" si="0"/>
        <v>6663.3</v>
      </c>
      <c r="H13" s="111">
        <f t="shared" si="0"/>
        <v>6854.3</v>
      </c>
      <c r="I13" s="111">
        <f t="shared" si="0"/>
        <v>6861.7</v>
      </c>
      <c r="J13" s="111">
        <f t="shared" si="0"/>
        <v>5629.1</v>
      </c>
      <c r="K13" s="111">
        <f t="shared" si="0"/>
        <v>31338.6</v>
      </c>
      <c r="M13" s="5"/>
      <c r="N13" s="6"/>
      <c r="O13" s="5"/>
      <c r="P13" s="5"/>
      <c r="Q13" s="7"/>
      <c r="R13" s="5"/>
      <c r="S13" s="5"/>
      <c r="T13" s="5"/>
    </row>
    <row r="14" spans="1:20" ht="16.5" customHeight="1" x14ac:dyDescent="0.25">
      <c r="A14" s="341"/>
      <c r="B14" s="342"/>
      <c r="C14" s="330"/>
      <c r="D14" s="335" t="s">
        <v>13</v>
      </c>
      <c r="E14" s="335"/>
      <c r="F14" s="111"/>
      <c r="G14" s="111"/>
      <c r="H14" s="111"/>
      <c r="I14" s="111"/>
      <c r="J14" s="111"/>
      <c r="K14" s="111"/>
      <c r="M14" s="5"/>
      <c r="N14" s="6"/>
      <c r="O14" s="5"/>
      <c r="P14" s="5"/>
      <c r="Q14" s="7"/>
      <c r="R14" s="5"/>
      <c r="S14" s="5"/>
      <c r="T14" s="5"/>
    </row>
    <row r="15" spans="1:20" ht="51" customHeight="1" x14ac:dyDescent="0.25">
      <c r="A15" s="341"/>
      <c r="B15" s="342"/>
      <c r="C15" s="330"/>
      <c r="D15" s="335" t="s">
        <v>127</v>
      </c>
      <c r="E15" s="335"/>
      <c r="F15" s="111">
        <v>4757.6000000000004</v>
      </c>
      <c r="G15" s="111">
        <v>6663.3</v>
      </c>
      <c r="H15" s="111">
        <v>6854.3</v>
      </c>
      <c r="I15" s="111">
        <v>6861.7</v>
      </c>
      <c r="J15" s="111">
        <v>5629.1</v>
      </c>
      <c r="K15" s="111">
        <f>F15+G15+H15+I15+J15</f>
        <v>30766</v>
      </c>
      <c r="M15" s="5"/>
      <c r="N15" s="6"/>
      <c r="O15" s="5"/>
      <c r="P15" s="5"/>
      <c r="Q15" s="7"/>
      <c r="R15" s="5"/>
      <c r="S15" s="5"/>
      <c r="T15" s="5"/>
    </row>
    <row r="16" spans="1:20" ht="36.75" customHeight="1" x14ac:dyDescent="0.25">
      <c r="A16" s="341"/>
      <c r="B16" s="342"/>
      <c r="C16" s="330"/>
      <c r="D16" s="335" t="s">
        <v>14</v>
      </c>
      <c r="E16" s="335"/>
      <c r="F16" s="111">
        <v>572.6</v>
      </c>
      <c r="G16" s="111">
        <v>0</v>
      </c>
      <c r="H16" s="111">
        <v>0</v>
      </c>
      <c r="I16" s="111">
        <v>0</v>
      </c>
      <c r="J16" s="111">
        <v>0</v>
      </c>
      <c r="K16" s="111">
        <f>F16+G16+H16+I16+J16</f>
        <v>572.6</v>
      </c>
      <c r="M16" s="5"/>
      <c r="N16" s="6"/>
      <c r="O16" s="5"/>
      <c r="P16" s="5"/>
      <c r="Q16" s="7"/>
      <c r="R16" s="5"/>
      <c r="S16" s="5"/>
      <c r="T16" s="5"/>
    </row>
    <row r="17" spans="1:20" ht="39.75" customHeight="1" x14ac:dyDescent="0.25">
      <c r="A17" s="343"/>
      <c r="B17" s="344"/>
      <c r="C17" s="330"/>
      <c r="D17" s="335" t="s">
        <v>15</v>
      </c>
      <c r="E17" s="335"/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104">
        <f>F17+G17+H17+I17+J17</f>
        <v>0</v>
      </c>
      <c r="M17" s="5"/>
      <c r="N17" s="6"/>
      <c r="O17" s="5"/>
      <c r="P17" s="5"/>
      <c r="Q17" s="7"/>
      <c r="R17" s="5"/>
      <c r="S17" s="5"/>
      <c r="T17" s="5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20" x14ac:dyDescent="0.25">
      <c r="A19" s="50"/>
    </row>
  </sheetData>
  <mergeCells count="18">
    <mergeCell ref="D16:E16"/>
    <mergeCell ref="D17:E17"/>
    <mergeCell ref="A10:B17"/>
    <mergeCell ref="A9:B9"/>
    <mergeCell ref="C9:K9"/>
    <mergeCell ref="C10:C12"/>
    <mergeCell ref="D10:E12"/>
    <mergeCell ref="F10:K11"/>
    <mergeCell ref="C13:C17"/>
    <mergeCell ref="D13:E13"/>
    <mergeCell ref="D14:E14"/>
    <mergeCell ref="D15:E15"/>
    <mergeCell ref="A7:K7"/>
    <mergeCell ref="A1:K1"/>
    <mergeCell ref="A2:K2"/>
    <mergeCell ref="A3:K3"/>
    <mergeCell ref="A5:K5"/>
    <mergeCell ref="A6:K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9"/>
  <sheetViews>
    <sheetView topLeftCell="A4" zoomScale="120" zoomScaleNormal="120" workbookViewId="0">
      <selection activeCell="A4" sqref="A4:K17"/>
    </sheetView>
  </sheetViews>
  <sheetFormatPr defaultRowHeight="15" x14ac:dyDescent="0.25"/>
  <cols>
    <col min="1" max="1" width="23" customWidth="1"/>
    <col min="2" max="2" width="23.140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307" t="s">
        <v>27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x14ac:dyDescent="0.25">
      <c r="A2" s="307" t="s">
        <v>178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x14ac:dyDescent="0.25">
      <c r="A3" s="307" t="s">
        <v>172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1" x14ac:dyDescent="0.25">
      <c r="A4" s="221"/>
    </row>
    <row r="5" spans="1:11" x14ac:dyDescent="0.25">
      <c r="A5" s="328" t="s">
        <v>28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</row>
    <row r="6" spans="1:11" ht="15" customHeight="1" x14ac:dyDescent="0.25">
      <c r="A6" s="346" t="s">
        <v>128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</row>
    <row r="7" spans="1:11" x14ac:dyDescent="0.25">
      <c r="A7" s="328" t="s">
        <v>120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</row>
    <row r="8" spans="1:11" x14ac:dyDescent="0.25">
      <c r="A8" s="3"/>
    </row>
    <row r="9" spans="1:11" ht="38.25" customHeight="1" x14ac:dyDescent="0.25">
      <c r="A9" s="326" t="s">
        <v>9</v>
      </c>
      <c r="B9" s="327"/>
      <c r="C9" s="347" t="s">
        <v>98</v>
      </c>
      <c r="D9" s="324"/>
      <c r="E9" s="324"/>
      <c r="F9" s="324"/>
      <c r="G9" s="324"/>
      <c r="H9" s="324"/>
      <c r="I9" s="324"/>
      <c r="J9" s="324"/>
      <c r="K9" s="325"/>
    </row>
    <row r="10" spans="1:11" ht="27.75" customHeight="1" x14ac:dyDescent="0.25">
      <c r="A10" s="339" t="s">
        <v>18</v>
      </c>
      <c r="B10" s="340"/>
      <c r="C10" s="348" t="s">
        <v>16</v>
      </c>
      <c r="D10" s="351" t="s">
        <v>17</v>
      </c>
      <c r="E10" s="352"/>
      <c r="F10" s="357" t="s">
        <v>10</v>
      </c>
      <c r="G10" s="358"/>
      <c r="H10" s="358"/>
      <c r="I10" s="358"/>
      <c r="J10" s="358"/>
      <c r="K10" s="359"/>
    </row>
    <row r="11" spans="1:11" ht="31.5" hidden="1" customHeight="1" x14ac:dyDescent="0.25">
      <c r="A11" s="341"/>
      <c r="B11" s="342"/>
      <c r="C11" s="349"/>
      <c r="D11" s="353"/>
      <c r="E11" s="354"/>
      <c r="F11" s="360"/>
      <c r="G11" s="361"/>
      <c r="H11" s="361"/>
      <c r="I11" s="361"/>
      <c r="J11" s="361"/>
      <c r="K11" s="362"/>
    </row>
    <row r="12" spans="1:11" ht="27.75" customHeight="1" x14ac:dyDescent="0.25">
      <c r="A12" s="341"/>
      <c r="B12" s="342"/>
      <c r="C12" s="350"/>
      <c r="D12" s="355"/>
      <c r="E12" s="356"/>
      <c r="F12" s="110" t="s">
        <v>5</v>
      </c>
      <c r="G12" s="110" t="s">
        <v>6</v>
      </c>
      <c r="H12" s="110" t="s">
        <v>104</v>
      </c>
      <c r="I12" s="110" t="s">
        <v>105</v>
      </c>
      <c r="J12" s="110" t="s">
        <v>124</v>
      </c>
      <c r="K12" s="110" t="s">
        <v>11</v>
      </c>
    </row>
    <row r="13" spans="1:11" ht="20.25" customHeight="1" x14ac:dyDescent="0.25">
      <c r="A13" s="341"/>
      <c r="B13" s="342"/>
      <c r="C13" s="348" t="s">
        <v>118</v>
      </c>
      <c r="D13" s="326" t="s">
        <v>12</v>
      </c>
      <c r="E13" s="327"/>
      <c r="F13" s="111">
        <f t="shared" ref="F13:K13" si="0">F15+F16+F17</f>
        <v>33928.1</v>
      </c>
      <c r="G13" s="111">
        <f t="shared" si="0"/>
        <v>19011.8</v>
      </c>
      <c r="H13" s="111">
        <f t="shared" si="0"/>
        <v>82190</v>
      </c>
      <c r="I13" s="111">
        <f t="shared" si="0"/>
        <v>131998</v>
      </c>
      <c r="J13" s="111">
        <f t="shared" si="0"/>
        <v>0</v>
      </c>
      <c r="K13" s="111">
        <f t="shared" si="0"/>
        <v>267127.90000000002</v>
      </c>
    </row>
    <row r="14" spans="1:11" ht="16.5" customHeight="1" x14ac:dyDescent="0.25">
      <c r="A14" s="341"/>
      <c r="B14" s="342"/>
      <c r="C14" s="349"/>
      <c r="D14" s="326" t="s">
        <v>13</v>
      </c>
      <c r="E14" s="327"/>
      <c r="F14" s="111"/>
      <c r="G14" s="111"/>
      <c r="H14" s="111"/>
      <c r="I14" s="111"/>
      <c r="J14" s="111"/>
      <c r="K14" s="111"/>
    </row>
    <row r="15" spans="1:11" ht="47.25" customHeight="1" x14ac:dyDescent="0.25">
      <c r="A15" s="341"/>
      <c r="B15" s="342"/>
      <c r="C15" s="349"/>
      <c r="D15" s="326" t="s">
        <v>129</v>
      </c>
      <c r="E15" s="327"/>
      <c r="F15" s="111">
        <v>10213.9</v>
      </c>
      <c r="G15" s="526">
        <v>15669.3</v>
      </c>
      <c r="H15" s="526">
        <v>14595</v>
      </c>
      <c r="I15" s="111">
        <v>0</v>
      </c>
      <c r="J15" s="111">
        <v>0</v>
      </c>
      <c r="K15" s="111">
        <f>F15+G15+H15+I15+J15</f>
        <v>40478.199999999997</v>
      </c>
    </row>
    <row r="16" spans="1:11" ht="29.25" customHeight="1" x14ac:dyDescent="0.25">
      <c r="A16" s="341"/>
      <c r="B16" s="342"/>
      <c r="C16" s="349"/>
      <c r="D16" s="326" t="s">
        <v>14</v>
      </c>
      <c r="E16" s="327"/>
      <c r="F16" s="111">
        <v>23714.2</v>
      </c>
      <c r="G16" s="526">
        <v>3342.5</v>
      </c>
      <c r="H16" s="526">
        <v>67595</v>
      </c>
      <c r="I16" s="526">
        <v>131998</v>
      </c>
      <c r="J16" s="111">
        <v>0</v>
      </c>
      <c r="K16" s="111">
        <f>F16+G16+H16+I16+J16</f>
        <v>226649.7</v>
      </c>
    </row>
    <row r="17" spans="1:11" ht="38.25" customHeight="1" x14ac:dyDescent="0.25">
      <c r="A17" s="343"/>
      <c r="B17" s="344"/>
      <c r="C17" s="350"/>
      <c r="D17" s="326" t="s">
        <v>15</v>
      </c>
      <c r="E17" s="327"/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f>F17+G17+H17+I17+J17</f>
        <v>0</v>
      </c>
    </row>
    <row r="18" spans="1:11" x14ac:dyDescent="0.25">
      <c r="A18" s="2"/>
      <c r="B18" s="2"/>
      <c r="C18" s="2"/>
      <c r="D18" s="2"/>
      <c r="E18" s="2"/>
      <c r="F18" s="2"/>
      <c r="G18" s="23"/>
      <c r="H18" s="2"/>
      <c r="I18" s="2"/>
      <c r="J18" s="2"/>
      <c r="K18" s="2"/>
    </row>
    <row r="19" spans="1:11" x14ac:dyDescent="0.25">
      <c r="A19" s="4"/>
    </row>
  </sheetData>
  <mergeCells count="18">
    <mergeCell ref="A10:B17"/>
    <mergeCell ref="C10:C12"/>
    <mergeCell ref="D10:E12"/>
    <mergeCell ref="F10:K11"/>
    <mergeCell ref="C13:C17"/>
    <mergeCell ref="D13:E13"/>
    <mergeCell ref="D14:E14"/>
    <mergeCell ref="D15:E15"/>
    <mergeCell ref="D16:E16"/>
    <mergeCell ref="D17:E17"/>
    <mergeCell ref="A9:B9"/>
    <mergeCell ref="C9:K9"/>
    <mergeCell ref="A7:K7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9"/>
  <sheetViews>
    <sheetView zoomScale="120" zoomScaleNormal="120" workbookViewId="0">
      <selection sqref="A1:K17"/>
    </sheetView>
  </sheetViews>
  <sheetFormatPr defaultRowHeight="15" x14ac:dyDescent="0.25"/>
  <cols>
    <col min="1" max="1" width="23" customWidth="1"/>
    <col min="2" max="2" width="23.140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363" t="s">
        <v>29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x14ac:dyDescent="0.25">
      <c r="A2" s="363" t="s">
        <v>178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</row>
    <row r="3" spans="1:11" x14ac:dyDescent="0.25">
      <c r="A3" s="363" t="s">
        <v>172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x14ac:dyDescent="0.25">
      <c r="A4" s="196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x14ac:dyDescent="0.25">
      <c r="A5" s="337" t="s">
        <v>31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</row>
    <row r="6" spans="1:11" x14ac:dyDescent="0.25">
      <c r="A6" s="345" t="s">
        <v>203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</row>
    <row r="7" spans="1:11" x14ac:dyDescent="0.25">
      <c r="A7" s="337" t="s">
        <v>120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</row>
    <row r="8" spans="1:11" x14ac:dyDescent="0.25">
      <c r="A8" s="201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38.25" customHeight="1" x14ac:dyDescent="0.25">
      <c r="A9" s="364" t="s">
        <v>9</v>
      </c>
      <c r="B9" s="364"/>
      <c r="C9" s="365" t="s">
        <v>98</v>
      </c>
      <c r="D9" s="365"/>
      <c r="E9" s="365"/>
      <c r="F9" s="365"/>
      <c r="G9" s="365"/>
      <c r="H9" s="365"/>
      <c r="I9" s="365"/>
      <c r="J9" s="365"/>
      <c r="K9" s="366"/>
    </row>
    <row r="10" spans="1:11" ht="27.75" customHeight="1" x14ac:dyDescent="0.25">
      <c r="A10" s="367" t="s">
        <v>18</v>
      </c>
      <c r="B10" s="368"/>
      <c r="C10" s="373" t="s">
        <v>16</v>
      </c>
      <c r="D10" s="373" t="s">
        <v>17</v>
      </c>
      <c r="E10" s="373"/>
      <c r="F10" s="329" t="s">
        <v>10</v>
      </c>
      <c r="G10" s="329"/>
      <c r="H10" s="329"/>
      <c r="I10" s="329"/>
      <c r="J10" s="329"/>
      <c r="K10" s="329"/>
    </row>
    <row r="11" spans="1:11" ht="31.5" hidden="1" customHeight="1" x14ac:dyDescent="0.25">
      <c r="A11" s="369"/>
      <c r="B11" s="370"/>
      <c r="C11" s="373"/>
      <c r="D11" s="373"/>
      <c r="E11" s="373"/>
      <c r="F11" s="329"/>
      <c r="G11" s="329"/>
      <c r="H11" s="329"/>
      <c r="I11" s="329"/>
      <c r="J11" s="329"/>
      <c r="K11" s="329"/>
    </row>
    <row r="12" spans="1:11" ht="27.75" customHeight="1" x14ac:dyDescent="0.25">
      <c r="A12" s="369"/>
      <c r="B12" s="370"/>
      <c r="C12" s="373"/>
      <c r="D12" s="373"/>
      <c r="E12" s="373"/>
      <c r="F12" s="110" t="s">
        <v>5</v>
      </c>
      <c r="G12" s="110" t="s">
        <v>6</v>
      </c>
      <c r="H12" s="110" t="s">
        <v>104</v>
      </c>
      <c r="I12" s="110" t="s">
        <v>105</v>
      </c>
      <c r="J12" s="110" t="s">
        <v>124</v>
      </c>
      <c r="K12" s="110" t="s">
        <v>11</v>
      </c>
    </row>
    <row r="13" spans="1:11" ht="20.25" customHeight="1" x14ac:dyDescent="0.25">
      <c r="A13" s="369"/>
      <c r="B13" s="370"/>
      <c r="C13" s="373" t="s">
        <v>118</v>
      </c>
      <c r="D13" s="364" t="s">
        <v>12</v>
      </c>
      <c r="E13" s="364"/>
      <c r="F13" s="111">
        <f t="shared" ref="F13:K13" si="0">F15+F16+F17</f>
        <v>8153.4</v>
      </c>
      <c r="G13" s="111">
        <f t="shared" si="0"/>
        <v>0</v>
      </c>
      <c r="H13" s="111">
        <f t="shared" si="0"/>
        <v>0</v>
      </c>
      <c r="I13" s="111">
        <f t="shared" si="0"/>
        <v>0</v>
      </c>
      <c r="J13" s="111">
        <f t="shared" si="0"/>
        <v>0</v>
      </c>
      <c r="K13" s="111">
        <f t="shared" si="0"/>
        <v>8153.4</v>
      </c>
    </row>
    <row r="14" spans="1:11" ht="16.5" customHeight="1" x14ac:dyDescent="0.25">
      <c r="A14" s="369"/>
      <c r="B14" s="370"/>
      <c r="C14" s="373"/>
      <c r="D14" s="364" t="s">
        <v>13</v>
      </c>
      <c r="E14" s="364"/>
      <c r="F14" s="111"/>
      <c r="G14" s="111"/>
      <c r="H14" s="111"/>
      <c r="I14" s="111"/>
      <c r="J14" s="111"/>
      <c r="K14" s="111"/>
    </row>
    <row r="15" spans="1:11" ht="47.25" customHeight="1" x14ac:dyDescent="0.25">
      <c r="A15" s="369"/>
      <c r="B15" s="370"/>
      <c r="C15" s="373"/>
      <c r="D15" s="364" t="s">
        <v>129</v>
      </c>
      <c r="E15" s="364"/>
      <c r="F15" s="111">
        <v>8153.4</v>
      </c>
      <c r="G15" s="111">
        <v>0</v>
      </c>
      <c r="H15" s="111">
        <v>0</v>
      </c>
      <c r="I15" s="111">
        <v>0</v>
      </c>
      <c r="J15" s="111">
        <v>0</v>
      </c>
      <c r="K15" s="111">
        <f>F15+G15+H15+I15+J15</f>
        <v>8153.4</v>
      </c>
    </row>
    <row r="16" spans="1:11" ht="29.25" customHeight="1" x14ac:dyDescent="0.25">
      <c r="A16" s="369"/>
      <c r="B16" s="370"/>
      <c r="C16" s="373"/>
      <c r="D16" s="364" t="s">
        <v>14</v>
      </c>
      <c r="E16" s="364"/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f>F16+G16+H16+I16+J16</f>
        <v>0</v>
      </c>
    </row>
    <row r="17" spans="1:11" ht="38.25" customHeight="1" x14ac:dyDescent="0.25">
      <c r="A17" s="371"/>
      <c r="B17" s="372"/>
      <c r="C17" s="373"/>
      <c r="D17" s="364" t="s">
        <v>15</v>
      </c>
      <c r="E17" s="364"/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f>F17+G17+H17+I17+J17</f>
        <v>0</v>
      </c>
    </row>
    <row r="18" spans="1:11" x14ac:dyDescent="0.25">
      <c r="A18" s="2"/>
      <c r="B18" s="2"/>
      <c r="C18" s="2"/>
      <c r="D18" s="2"/>
      <c r="E18" s="2"/>
      <c r="F18" s="2"/>
      <c r="G18" s="23"/>
      <c r="H18" s="2"/>
      <c r="I18" s="2"/>
      <c r="J18" s="2"/>
      <c r="K18" s="2"/>
    </row>
    <row r="19" spans="1:11" x14ac:dyDescent="0.25">
      <c r="A19" s="112"/>
    </row>
  </sheetData>
  <mergeCells count="18">
    <mergeCell ref="D16:E16"/>
    <mergeCell ref="D17:E17"/>
    <mergeCell ref="A9:B9"/>
    <mergeCell ref="C9:K9"/>
    <mergeCell ref="A10:B17"/>
    <mergeCell ref="C10:C12"/>
    <mergeCell ref="D10:E12"/>
    <mergeCell ref="F10:K11"/>
    <mergeCell ref="C13:C17"/>
    <mergeCell ref="D13:E13"/>
    <mergeCell ref="D14:E14"/>
    <mergeCell ref="D15:E15"/>
    <mergeCell ref="A7:K7"/>
    <mergeCell ref="A1:K1"/>
    <mergeCell ref="A2:K2"/>
    <mergeCell ref="A3:K3"/>
    <mergeCell ref="A5:K5"/>
    <mergeCell ref="A6:K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5</vt:i4>
      </vt:variant>
    </vt:vector>
  </HeadingPairs>
  <TitlesOfParts>
    <vt:vector size="20" baseType="lpstr">
      <vt:lpstr>Паспорт программы</vt:lpstr>
      <vt:lpstr>Прил1 Планир результ</vt:lpstr>
      <vt:lpstr>Прил 2 Паспорт подпр 1</vt:lpstr>
      <vt:lpstr>Прил 3 паспорт подпр 2</vt:lpstr>
      <vt:lpstr>Прил 4 паспорт подпр 3</vt:lpstr>
      <vt:lpstr>Прил 5 паспорт подпр 4</vt:lpstr>
      <vt:lpstr>Прилож 6 пасп подп 5</vt:lpstr>
      <vt:lpstr>Прил 7 пасп подпр 6</vt:lpstr>
      <vt:lpstr>Прил 8 пасп подпр 7</vt:lpstr>
      <vt:lpstr>Прил 9 пасп подпр 8</vt:lpstr>
      <vt:lpstr>Прил 10 Обоснов фин ресурсов</vt:lpstr>
      <vt:lpstr>Прил 11 Перечень мероприятий</vt:lpstr>
      <vt:lpstr>Прил 12 Адресный перечень об</vt:lpstr>
      <vt:lpstr>Прил 13 Адреснперечень объекта</vt:lpstr>
      <vt:lpstr>Прил 14 методика расчета</vt:lpstr>
      <vt:lpstr>'Прил 10 Обоснов фин ресурсов'!Область_печати</vt:lpstr>
      <vt:lpstr>'Прил 11 Перечень мероприятий'!Область_печати</vt:lpstr>
      <vt:lpstr>'Прил 12 Адресный перечень об'!Область_печати</vt:lpstr>
      <vt:lpstr>'Прил1 Планир результ'!Область_печати</vt:lpstr>
      <vt:lpstr>'Прилож 6 пасп подп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2019-12-17T08:45:53Z</dcterms:modified>
</cp:coreProperties>
</file>