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0" windowWidth="22980" windowHeight="9525"/>
  </bookViews>
  <sheets>
    <sheet name="Пр №1_доходы 2020-2022  " sheetId="1" r:id="rId1"/>
  </sheets>
  <definedNames>
    <definedName name="_xlnm._FilterDatabase" localSheetId="0" hidden="1">'Пр №1_доходы 2020-2022  '!$A$21:$F$187</definedName>
    <definedName name="_xlnm.Print_Titles" localSheetId="0">'Пр №1_доходы 2020-2022  '!$19:$21</definedName>
    <definedName name="_xlnm.Print_Area" localSheetId="0">'Пр №1_доходы 2020-2022  '!$B$1:$F$187</definedName>
  </definedNames>
  <calcPr calcId="124519"/>
</workbook>
</file>

<file path=xl/calcChain.xml><?xml version="1.0" encoding="utf-8"?>
<calcChain xmlns="http://schemas.openxmlformats.org/spreadsheetml/2006/main">
  <c r="D95" i="1"/>
  <c r="D34" l="1"/>
  <c r="D35"/>
  <c r="D36"/>
  <c r="D115"/>
  <c r="D81"/>
  <c r="D74"/>
  <c r="D70"/>
  <c r="D67"/>
  <c r="D63"/>
  <c r="F146" l="1"/>
  <c r="E164"/>
  <c r="E160"/>
  <c r="E156"/>
  <c r="E146"/>
  <c r="E142"/>
  <c r="D186"/>
  <c r="D183"/>
  <c r="D181"/>
  <c r="D177"/>
  <c r="D175"/>
  <c r="D171"/>
  <c r="D169"/>
  <c r="D167"/>
  <c r="D164"/>
  <c r="D162"/>
  <c r="D160"/>
  <c r="D146"/>
  <c r="D144"/>
  <c r="D142"/>
  <c r="D129" l="1"/>
  <c r="D122"/>
  <c r="D87"/>
  <c r="D59"/>
  <c r="D134"/>
  <c r="D133"/>
  <c r="D132" s="1"/>
  <c r="D124"/>
  <c r="D119"/>
  <c r="D113"/>
  <c r="D110"/>
  <c r="D94"/>
  <c r="D77"/>
  <c r="D56"/>
  <c r="D50"/>
  <c r="D47"/>
  <c r="D25" l="1"/>
  <c r="D27"/>
  <c r="D29"/>
  <c r="D31"/>
  <c r="E31"/>
  <c r="F31"/>
  <c r="D46"/>
  <c r="D49"/>
  <c r="D52"/>
  <c r="D51" s="1"/>
  <c r="D55"/>
  <c r="D58"/>
  <c r="D62"/>
  <c r="D66"/>
  <c r="D69"/>
  <c r="D73"/>
  <c r="D76"/>
  <c r="D80"/>
  <c r="D82"/>
  <c r="D84"/>
  <c r="D86"/>
  <c r="D89"/>
  <c r="D88" s="1"/>
  <c r="D93"/>
  <c r="D98"/>
  <c r="D100"/>
  <c r="D103"/>
  <c r="D105"/>
  <c r="D109"/>
  <c r="D112"/>
  <c r="D114"/>
  <c r="E114"/>
  <c r="E111" s="1"/>
  <c r="F114"/>
  <c r="F111" s="1"/>
  <c r="D118"/>
  <c r="D121"/>
  <c r="D123"/>
  <c r="D126"/>
  <c r="D125" s="1"/>
  <c r="D128"/>
  <c r="E128"/>
  <c r="F128"/>
  <c r="E132"/>
  <c r="E131" s="1"/>
  <c r="E130" s="1"/>
  <c r="F132"/>
  <c r="F131" s="1"/>
  <c r="F130" s="1"/>
  <c r="D141"/>
  <c r="E141"/>
  <c r="F142"/>
  <c r="F141" s="1"/>
  <c r="D143"/>
  <c r="F145"/>
  <c r="D145"/>
  <c r="E145"/>
  <c r="E147"/>
  <c r="F147"/>
  <c r="D149"/>
  <c r="E149"/>
  <c r="F149"/>
  <c r="D151"/>
  <c r="E151"/>
  <c r="F151"/>
  <c r="E153"/>
  <c r="F153"/>
  <c r="D154"/>
  <c r="D153" s="1"/>
  <c r="D155"/>
  <c r="E155"/>
  <c r="F155"/>
  <c r="D157"/>
  <c r="E157"/>
  <c r="F157"/>
  <c r="D159"/>
  <c r="E159"/>
  <c r="F159"/>
  <c r="E161"/>
  <c r="F161"/>
  <c r="D161"/>
  <c r="D163"/>
  <c r="E163"/>
  <c r="F164"/>
  <c r="F163" s="1"/>
  <c r="D166"/>
  <c r="E166"/>
  <c r="F166"/>
  <c r="D168"/>
  <c r="E169"/>
  <c r="E168" s="1"/>
  <c r="F169"/>
  <c r="F168" s="1"/>
  <c r="E170"/>
  <c r="F170"/>
  <c r="D170"/>
  <c r="E172"/>
  <c r="F172"/>
  <c r="D173"/>
  <c r="D172" s="1"/>
  <c r="D174"/>
  <c r="E175"/>
  <c r="E174" s="1"/>
  <c r="F175"/>
  <c r="F174" s="1"/>
  <c r="D176"/>
  <c r="E176"/>
  <c r="F176"/>
  <c r="D178"/>
  <c r="E178"/>
  <c r="F178"/>
  <c r="D180"/>
  <c r="E180"/>
  <c r="F180"/>
  <c r="D182"/>
  <c r="E183"/>
  <c r="E182" s="1"/>
  <c r="F183"/>
  <c r="F182" s="1"/>
  <c r="E185"/>
  <c r="E184" s="1"/>
  <c r="F185"/>
  <c r="F184" s="1"/>
  <c r="D185"/>
  <c r="D184" s="1"/>
  <c r="D61" l="1"/>
  <c r="D131"/>
  <c r="D117"/>
  <c r="D108"/>
  <c r="D92"/>
  <c r="D72"/>
  <c r="D75"/>
  <c r="D68"/>
  <c r="D65"/>
  <c r="D57"/>
  <c r="D54"/>
  <c r="D45"/>
  <c r="D48"/>
  <c r="F140"/>
  <c r="D111"/>
  <c r="F22"/>
  <c r="D102"/>
  <c r="D97" s="1"/>
  <c r="D96" s="1"/>
  <c r="D165"/>
  <c r="D79"/>
  <c r="D120"/>
  <c r="D24"/>
  <c r="D23" s="1"/>
  <c r="E22"/>
  <c r="E165"/>
  <c r="D140"/>
  <c r="F165"/>
  <c r="E140"/>
  <c r="F136" l="1"/>
  <c r="F135" s="1"/>
  <c r="F187" s="1"/>
  <c r="D130"/>
  <c r="D116"/>
  <c r="D107"/>
  <c r="D91"/>
  <c r="D71"/>
  <c r="D64"/>
  <c r="D44"/>
  <c r="E136"/>
  <c r="E135" s="1"/>
  <c r="E187" s="1"/>
  <c r="D136"/>
  <c r="D135" s="1"/>
  <c r="D60" l="1"/>
  <c r="D78"/>
  <c r="D43"/>
  <c r="D22" l="1"/>
  <c r="D187" l="1"/>
</calcChain>
</file>

<file path=xl/sharedStrings.xml><?xml version="1.0" encoding="utf-8"?>
<sst xmlns="http://schemas.openxmlformats.org/spreadsheetml/2006/main" count="351" uniqueCount="342">
  <si>
    <t>к решению Совета депутатов</t>
  </si>
  <si>
    <t>Рузского городского округа</t>
  </si>
  <si>
    <t>Ед. измерения: тыс. рублей</t>
  </si>
  <si>
    <t>Сумма</t>
  </si>
  <si>
    <t>НАЛОГИ НА ПРИБЫЛЬ, ДОХОДЫ</t>
  </si>
  <si>
    <t>Налог на доходы физических лиц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</si>
  <si>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</si>
  <si>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</si>
  <si>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</si>
  <si>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</si>
  <si>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</si>
  <si>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</si>
  <si>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</si>
  <si>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ГОСУДАРСТВЕННАЯ ПОШЛИНА</t>
  </si>
  <si>
    <t>Государственная пошлина за выдачу разрешения на установку рекламной конструкции</t>
  </si>
  <si>
    <t>ДОХОДЫ ОТ ИСПОЛЬЗОВАНИЯ ИМУЩЕСТВА, НАХОДЯЩЕГОСЯ В ГОСУДАРСТВЕННОЙ И МУНИЦИПАЛЬНОЙ СОБСТВЕННОСТИ</t>
  </si>
  <si>
    <t>Доходы от сдачи в аренду имущества, составляющего казну городских округов (за исключением земельных участков)</t>
  </si>
  <si>
    <t>ПЛАТЕЖИ ПРИ ПОЛЬЗОВАНИИ ПРИРОДНЫМИ РЕСУРСАМИ</t>
  </si>
  <si>
    <t>Плата за негативное воздействие на окружающую среду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</si>
  <si>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</si>
  <si>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</si>
  <si>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</si>
  <si>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</si>
  <si>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ПРОЧИЕ НЕНАЛОГОВЫЕ ДОХОДЫ</t>
  </si>
  <si>
    <t>БЕЗВОЗМЕЗДНЫЕ ПОСТУПЛЕНИЯ</t>
  </si>
  <si>
    <t>Приложение № 1</t>
  </si>
  <si>
    <t>Код дохода</t>
  </si>
  <si>
    <t>Наименование кода дохода</t>
  </si>
  <si>
    <t xml:space="preserve"> Сумма на 2020 год </t>
  </si>
  <si>
    <t xml:space="preserve">на 2021 год </t>
  </si>
  <si>
    <t xml:space="preserve">на 2022 год </t>
  </si>
  <si>
    <t>1 00 00 000 00 0000 000</t>
  </si>
  <si>
    <t>НАЛОГОВЫЕ И НЕНАЛОГОВЫЕ ДОХОДЫ</t>
  </si>
  <si>
    <t>1 01 00 000 00 0000 000</t>
  </si>
  <si>
    <t>1 01 02 000 01 0000 110</t>
  </si>
  <si>
    <t>1 01 02 010 01 0000 110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</si>
  <si>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</si>
  <si>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1 01 02 010 01 1000 110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</si>
  <si>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</si>
  <si>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</si>
  <si>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</si>
  <si>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1 01 02 020 01 1000 110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</si>
  <si>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</si>
  <si>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</si>
  <si>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</si>
  <si>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1 01 02 030 01 1000 110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</si>
  <si>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</si>
  <si>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</si>
  <si>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</si>
  <si>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1 01 02 040 01 1000 110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</si>
  <si>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</si>
  <si>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1 03 00 000 00 0000 000</t>
  </si>
  <si>
    <t>НАЛОГИ НА ТОВАРЫ (РАБОТЫ, УСЛУГИ), РЕАЛИЗУЕМЫЕ НА ТЕРРИТОРИИ РОССИЙСКОЙ ФЕДЕРАЦИИ</t>
  </si>
  <si>
    <t>1 03 02 000 01 0000 110</t>
  </si>
  <si>
    <t>Акцизы по подакцизным товарам (продукции), производимым на территории Российской Федерации</t>
  </si>
  <si>
    <t>1 03 02 230 01 0000 110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</si>
  <si>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</si>
  <si>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</si>
  <si>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</si>
  <si>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</si>
  <si>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</si>
  <si>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</si>
  <si>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</si>
  <si>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</si>
  <si>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</si>
  <si>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</si>
  <si>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</si>
  <si>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</si>
  <si>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</si>
  <si>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</si>
  <si>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</si>
  <si>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1 05 00 000 00 0000 000</t>
  </si>
  <si>
    <t>1 05 01 000 00 0000 110</t>
  </si>
  <si>
    <t>1 05 01 010 01 0000 110</t>
  </si>
  <si>
    <t>Налог, взимаемый с налогоплательщиков, выбравших в качестве объекта налогообложения доходы</t>
  </si>
  <si>
    <t>1 05 01 011 01 0000 110</t>
  </si>
  <si>
    <t>1 05 01 011 01 1000 110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</si>
  <si>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</si>
  <si>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1 05 01 020 01 0000 110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</si>
  <si>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</si>
  <si>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1 05 01 021 01 0000 110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</si>
  <si>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</si>
  <si>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1 05 01 021 01 1000 110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</si>
  <si>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</si>
  <si>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1 05 02 000 02 0000 110</t>
  </si>
  <si>
    <t>1 05 02 010 02 0000 110</t>
  </si>
  <si>
    <t>1 05 02 010 02 1000 110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</si>
  <si>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</si>
  <si>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1 05 03 000 01 0000 110</t>
  </si>
  <si>
    <t>1 05 03 010 01 0000 110</t>
  </si>
  <si>
    <t>1 05 03 010 01 1000 110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</si>
  <si>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</si>
  <si>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1 05 04 000 02 0000 110</t>
  </si>
  <si>
    <t>Налог, взимаемый в связи с применением патентной системы налогообложения</t>
  </si>
  <si>
    <t>1 05 04 010 02 0000 110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</si>
  <si>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</si>
  <si>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1 05 04 010 02 1000 110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</si>
  <si>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</si>
  <si>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1 06 00 000 00 0000 000</t>
  </si>
  <si>
    <t>1 06 01 000 00 0000 110</t>
  </si>
  <si>
    <t>Налог на имущество физических лиц</t>
  </si>
  <si>
    <t>1 06 01 020 04 0000 110</t>
  </si>
  <si>
    <t>1 06 01 020 04 1000 110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</si>
  <si>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</si>
  <si>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1 06 06 000 00 0000 110</t>
  </si>
  <si>
    <t>1 06 06 030 00 0000 110</t>
  </si>
  <si>
    <t>Земельный налог с организаций</t>
  </si>
  <si>
    <t>1 06 06 032 04 0000 110</t>
  </si>
  <si>
    <t>Земельный налог с организаций, обладающих земельным участком, расположенным в границах городских округов</t>
  </si>
  <si>
    <t>1 06 06 032 04 1000 110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</si>
  <si>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</si>
  <si>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1 06 06 040 00 0000 110</t>
  </si>
  <si>
    <t>Земельный налог с физических лиц</t>
  </si>
  <si>
    <t>1 06 06 042 04 0000 110</t>
  </si>
  <si>
    <t>Земельный налог с физических лиц, обладающих земельным участком, расположенным в границах городских округов</t>
  </si>
  <si>
    <t>1 06 06 042 04 1000 110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</si>
  <si>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</si>
  <si>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1 08 00 000 00 0000 000</t>
  </si>
  <si>
    <t>1 08 03 000 01 0000 110</t>
  </si>
  <si>
    <t>Государственная пошлина по делам, рассматриваемым в судах общей юрисдикции, мировыми судьями</t>
  </si>
  <si>
    <t>1 08 03 010 01 0000 110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</si>
  <si>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</si>
  <si>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1 08 03 010 01 1000 110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</si>
  <si>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</si>
  <si>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1 08 07 000 01 0000 110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</si>
  <si>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</si>
  <si>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1 08 07 150 01 0000 110</t>
  </si>
  <si>
    <t>1 08 07 150 01 1000 110</t>
  </si>
  <si>
    <t>1 11 00 000 00 0000 000</t>
  </si>
  <si>
    <t>1 11 05 000 00 0000 120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</si>
  <si>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</si>
  <si>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1 11 05 010 00 0000 120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</si>
  <si>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</si>
  <si>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1 11 05 012 04 0000 120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</si>
  <si>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</si>
  <si>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1 11 05 020 00 0000 120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</si>
  <si>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</si>
  <si>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1 11 05 024 04 0000 120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</si>
  <si>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</si>
  <si>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1 11 05 030 00 0000 120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</si>
  <si>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</si>
  <si>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1 11 05 034 04 0000 120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</si>
  <si>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</si>
  <si>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1 11 05 070 00 0000 120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</si>
  <si>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</si>
  <si>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1 11 05 074 04 0000 120</t>
  </si>
  <si>
    <t>1 11 05 300 00 0000 120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</si>
  <si>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</si>
  <si>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1 11 05 310 00 0000 120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</si>
  <si>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</si>
  <si>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1 11 05 312 04 0000 120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</si>
  <si>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</si>
  <si>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1 11 09 000 00 0000 120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</si>
  <si>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</si>
  <si>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</si>
  <si>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</si>
  <si>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</si>
  <si>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</si>
  <si>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1 11 09 044 04 0001 120</t>
  </si>
  <si>
    <t>Плата по договорам за установку и эксплуатацию рекламных конструкций</t>
  </si>
  <si>
    <t>1 11 09 044 04 0002 120</t>
  </si>
  <si>
    <t>Плата за наем жилых помещений</t>
  </si>
  <si>
    <t>1 12 00 000 00 0000 000</t>
  </si>
  <si>
    <t>1 12 01 000 01 0000 120</t>
  </si>
  <si>
    <t>1 12 01 010 01 0000 120</t>
  </si>
  <si>
    <t>Плата за выбросы загрязняющих веществ в атмосферный воздух стационарными объектами</t>
  </si>
  <si>
    <t>1 12 01 010 01 6000 120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</si>
  <si>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</si>
  <si>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1 12 01 030 01 0000 120</t>
  </si>
  <si>
    <t>Плата за сбросы загрязняющих веществ в водные объекты</t>
  </si>
  <si>
    <t>1 12 01 030 01 6000 120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</si>
  <si>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</si>
  <si>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1 12 01 040 01 0000 120</t>
  </si>
  <si>
    <t>Плата за размещение отходов производства и потребления</t>
  </si>
  <si>
    <t>1 12 01 041 01 0000 120</t>
  </si>
  <si>
    <t>Плата за размещение отходов производства</t>
  </si>
  <si>
    <t>1 12 01 041 01 6000 120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</si>
  <si>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</si>
  <si>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1 12 01 042 01 0000 120</t>
  </si>
  <si>
    <t>Плата за размещение твердых коммунальных отходов</t>
  </si>
  <si>
    <t>1 12 01 042 01 6000 120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</si>
  <si>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</si>
  <si>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1 13 00 000 00 0000 000</t>
  </si>
  <si>
    <t>ДОХОДЫ ОТ ОКАЗАНИЯ ПЛАТНЫХ УСЛУГ И КОМПЕНСАЦИИ ЗАТРАТ ГОСУДАРСТВА</t>
  </si>
  <si>
    <t>1 13 01 000 00 0000 130</t>
  </si>
  <si>
    <t>Доходы от оказания платных услуг (работ)</t>
  </si>
  <si>
    <t>1 13 01 990 00 0000 130</t>
  </si>
  <si>
    <t>Прочие доходы от оказания платных услуг (работ)</t>
  </si>
  <si>
    <t>1 13 01 994 04 0000 130</t>
  </si>
  <si>
    <t>1 13 02 000 00 0000 130</t>
  </si>
  <si>
    <t>Доходы от компенсации затрат государства</t>
  </si>
  <si>
    <t>1 13 02 060 00 0000 130</t>
  </si>
  <si>
    <t>Доходы, поступающие в порядке возмещения расходов, понесенных в связи с эксплуатацией имущества</t>
  </si>
  <si>
    <t>1 13 02 064 04 0000 130</t>
  </si>
  <si>
    <t>1 14 00 000 00 0000 000</t>
  </si>
  <si>
    <t>1 14 02 000 00 0000 000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</si>
  <si>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</si>
  <si>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1 14 02 040 04 0000 410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</si>
  <si>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</si>
  <si>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1 14 02 043 04 0000 410</t>
  </si>
  <si>
    <t>1 14 06 000 00 0000 430</t>
  </si>
  <si>
    <t>Доходы от продажи земельных участков, находящихся в государственной и муниципальной собственности</t>
  </si>
  <si>
    <t>1 14 06 010 00 0000 430</t>
  </si>
  <si>
    <t>Доходы от продажи земельных участков, государственная собственность на которые не разграничена</t>
  </si>
  <si>
    <t>1 14 06 012 04 0000 430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</si>
  <si>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</si>
  <si>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1 14 06 020 00 0000 430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</si>
  <si>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</si>
  <si>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1 14 06 024 04 0000 430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</si>
  <si>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</si>
  <si>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1 14 06 300 00 0000 430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</si>
  <si>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</si>
  <si>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1 14 06 310 00 0000 430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</si>
  <si>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</si>
  <si>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1 14 06 312 04 0000 430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</si>
  <si>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</si>
  <si>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1 17 00 000 00 0000 000</t>
  </si>
  <si>
    <t>1 17 05 000 00 0000 180</t>
  </si>
  <si>
    <t>Прочие неналоговые доходы</t>
  </si>
  <si>
    <t>1 17 05 040 04 0000 180</t>
  </si>
  <si>
    <t>Прочие неналоговые доходы бюджетов городских округов</t>
  </si>
  <si>
    <t>1 17 05 040 04 0001 180</t>
  </si>
  <si>
    <t>Прочие неналоговые доходы бюджетов городских округов (плата за право размещения нестационарного торгового объекта)</t>
  </si>
  <si>
    <t>1 17 05 040 04 0002 180</t>
  </si>
  <si>
    <t>Прочие неналоговые доходы бюджетов городских округов(поруб. билеты)</t>
  </si>
  <si>
    <t>2 00 00 000 00 0000 000</t>
  </si>
  <si>
    <t>2 02 00 000 00 0000 000</t>
  </si>
  <si>
    <t>БЕЗВОЗМЕЗДНЫЕ ПОСТУПЛЕНИЯ ОТ ДРУГИХ БЮДЖЕТОВ БЮДЖЕТНОЙ СИСТЕМЫ РОССИЙСКОЙ ФЕДЕРАЦИИ</t>
  </si>
  <si>
    <t>2 02 10 000 00 0000 150</t>
  </si>
  <si>
    <t>Дотации бюджетам бюджетной системы Российской Федерации</t>
  </si>
  <si>
    <t>2 02 15 001 00 0000 150</t>
  </si>
  <si>
    <t>Дотации на выравнивание бюджетной обеспеченности</t>
  </si>
  <si>
    <t>2 02 15 001 04 0000 150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</si>
  <si>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</si>
  <si>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 xml:space="preserve">ИТОГО  </t>
  </si>
  <si>
    <t>Поступление доходов в бюджет Рузского городского округа на 2020 год и плановый период 2021 и 2022 годов</t>
  </si>
  <si>
    <t>Московской области</t>
  </si>
  <si>
    <t>2 02 20 000 00 0000 150</t>
  </si>
  <si>
    <t>Субсидии бюджетам бюджетной системы Российской Федерации (межбюджетные субсидии)</t>
  </si>
  <si>
    <t>2 02 20 077 00 0000 150</t>
  </si>
  <si>
    <t>Субсидии бюджетам на софинансирование капитальных вложений в объекты муниципальной собственности</t>
  </si>
  <si>
    <t>2 02 20 077 04 0000 150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</si>
  <si>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</si>
  <si>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2 02 20 302 00 0000 150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</si>
  <si>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</si>
  <si>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2 02 20 302 04 0000 150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</si>
  <si>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</si>
  <si>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2 02 25 169 00 0000 150</t>
  </si>
  <si>
    <t>Субсидии бюджетам на обновление материально-технической базы для формирования у обучающихся современных технологических и гуманитарных навыков</t>
  </si>
  <si>
    <t>2 02 25 169 04 0000 150</t>
  </si>
  <si>
    <t>Субсидии бюджетам городских округов на обновление материально-технической базы для формирования у обучающихся современных технологических и гуманитарных навыков</t>
  </si>
  <si>
    <t>2 02 25 187 00 0000 150</t>
  </si>
  <si>
    <t>Субсидии бюджетам на поддержку образования для детей с ограниченными возможностями здоровья</t>
  </si>
  <si>
    <t>2 02 25 187 04 0000 150</t>
  </si>
  <si>
    <t>Субсидии бюджетам городских округов на поддержку образования для детей с ограниченными возможностями здоровья</t>
  </si>
  <si>
    <t>2 02 25 242 00 0000 150</t>
  </si>
  <si>
    <t>Субсидии бюджетам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</si>
  <si>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2 02 25 242 04 0000 150</t>
  </si>
  <si>
    <t>Субсидии бюджетам городских округов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</si>
  <si>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2 02 25 555 00 0000 150</t>
  </si>
  <si>
    <t>Субсидии бюджетам на реализацию программ формирования современной городской среды</t>
  </si>
  <si>
    <t>2 02 25 555 04 0000 150</t>
  </si>
  <si>
    <t>Субсидии бюджетам городских округов на реализацию программ формирования современной городской среды</t>
  </si>
  <si>
    <t>2 02 29 999 00 0000 150</t>
  </si>
  <si>
    <t>Прочие субсидии</t>
  </si>
  <si>
    <t>2 02 29 999 04 0000 150</t>
  </si>
  <si>
    <t>Прочие субсидии бюджетам городских округов</t>
  </si>
  <si>
    <t>2 02 30 000 00 0000 150</t>
  </si>
  <si>
    <t>Субвенции бюджетам бюджетной системы Российской Федерации</t>
  </si>
  <si>
    <t>2 02 30 022 00 0000 150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</si>
  <si>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</si>
  <si>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2 02 30 022 04 0000 150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</si>
  <si>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</si>
  <si>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2 02 30 024 00 0000 150</t>
  </si>
  <si>
    <t>Субвенции местным бюджетам на выполнение передаваемых полномочий субъектов Российской Федерации</t>
  </si>
  <si>
    <t>2 02 30 024 04 0000 150</t>
  </si>
  <si>
    <t>Субвенции бюджетам городских округов на выполнение передаваемых полномочий субъектов Российской Федерации</t>
  </si>
  <si>
    <t>2 02 30 029 00 0000 150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</si>
  <si>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</si>
  <si>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2 02 30 029 04 0000 150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</si>
  <si>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</si>
  <si>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2 02 35 082 00 0000 150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</si>
  <si>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</si>
  <si>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2 02 35 082 04 0000 150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</si>
  <si>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</si>
  <si>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2 02 35 118 00 0000 150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</si>
  <si>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</si>
  <si>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2 02 35 118 04 0000 150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</si>
  <si>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</si>
  <si>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2 02 35 120 00 0000 150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</si>
  <si>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</si>
  <si>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2 02 35 120 04 0000 150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</si>
  <si>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</si>
  <si>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2 02 35 469 00 0000 150</t>
  </si>
  <si>
    <t>Субвенции бюджетам на проведение Всероссийской переписи населения 2020 года</t>
  </si>
  <si>
    <t>2 02 35 469 04 0000 150</t>
  </si>
  <si>
    <t>Субвенции бюджетам городских округов на проведение Всероссийской переписи населения 2020 года</t>
  </si>
  <si>
    <t>2 02 39 999 00 0000 150</t>
  </si>
  <si>
    <t>Прочие субвенции</t>
  </si>
  <si>
    <t>2 02 39 999 04 0000 150</t>
  </si>
  <si>
    <t>Прочие субвенции бюджетам городских округов</t>
  </si>
  <si>
    <t>2 02 40 000 00 0000 150</t>
  </si>
  <si>
    <t>Иные межбюджетные трансферты</t>
  </si>
  <si>
    <t>2 02 49 999 00 0000 150</t>
  </si>
  <si>
    <t>Прочие межбюджетные трансферты, передаваемые бюджетам</t>
  </si>
  <si>
    <t>2 02 49 999 04 0000 150</t>
  </si>
  <si>
    <t>Прочие межбюджетные трансферты, передаваемые бюджетам городских округов</t>
  </si>
  <si>
    <t>1 13 02 994 00 0000 130</t>
  </si>
  <si>
    <t xml:space="preserve">Прочие доходы от компенсации затрат бюджетов </t>
  </si>
  <si>
    <t>1 13 02 994 04 0000 130</t>
  </si>
  <si>
    <t>Прочие доходы от компенсации затрат бюджетов городских округов</t>
  </si>
  <si>
    <t>2 02 25497 00 0000 150</t>
  </si>
  <si>
    <t>Субсидии бюджетам на реализацию мероприятий по обеспечению жильем молодых семей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</si>
  <si>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</si>
  <si>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</si>
  <si>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2 02 27 576 00 0000 150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</si>
  <si>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
</t>
  </si>
  <si>
    <t>2 02 27 576 04 0000 150</t>
  </si>
  <si>
    <t xml:space="preserve">Субсидии бюджетам городских округов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
</t>
  </si>
  <si>
    <t>2 02 20216 04 0000 150</t>
  </si>
  <si>
    <t xml:space="preserve"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</si>
  <si>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2 02 20 303 00 0000 150</t>
  </si>
  <si>
    <t>Субсидии бюджетам муниципальных образований на обеспечение мероприятий по модернизации систем коммунальной инфраструктуры за счет средств бюджетов</t>
  </si>
  <si>
    <t>2 02 20 303 04 0000 150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</si>
  <si>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</si>
  <si>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>2 02 20216 00 0000 150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</si>
  <si>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</si>
  <si>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1 16 00 000 00 0000 000</t>
  </si>
  <si>
    <t>ШТРАФЫ, САНКЦИИ, ВОЗМЕЩЕНИЕ УЩЕРБА</t>
  </si>
  <si>
    <t>1 16 10 123 01 0041 140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</si>
  <si>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</si>
  <si>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2 02 25 304 00 0000 150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</si>
  <si>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</si>
  <si>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2 02 25 304 04 0000 150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</si>
  <si>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</si>
  <si>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2 02 35 303 04 0000 150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</si>
  <si>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</si>
  <si>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2 02 35 303 00 0000 150</t>
  </si>
  <si>
    <t xml:space="preserve">от  "11" декабря  2019 года №431/45 </t>
  </si>
  <si>
    <t>"О бюджете Рузского городского округа Московской области на 2020 год</t>
  </si>
  <si>
    <t xml:space="preserve"> и на плановый период 2021 и 2022 годов"</t>
  </si>
  <si>
    <t xml:space="preserve">от  "24" ноября  2020  года №505/58              </t>
  </si>
</sst>
</file>

<file path=xl/styles.xml><?xml version="1.0" encoding="utf-8"?>
<styleSheet xmlns="http://schemas.openxmlformats.org/spreadsheetml/2006/main">
  <numFmts count="5">
    <numFmt numFmtId="164" formatCode="#,##0.0"/>
    <numFmt numFmtId="165" formatCode="_-* #,##0.00_р_._-;\-* #,##0.00_р_._-;_-* &quot;-&quot;??_р_._-;_-@_-"/>
    <numFmt numFmtId="166" formatCode="[&gt;=50]#,##0.0,;[Red][&lt;=-50]\-#,##0.0,;#,##0.0,"/>
    <numFmt numFmtId="167" formatCode="[&gt;=50]#,##0.00,;[Red][&lt;=-50]\-#,##0.00,;#,##0.00,"/>
    <numFmt numFmtId="168" formatCode="#,##0.00_ ;[Red]\-#,##0.00\ "/>
  </numFmts>
  <fonts count="3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14">
    <xf numFmtId="0" fontId="0" fillId="0" borderId="0"/>
    <xf numFmtId="165" fontId="2" fillId="0" borderId="0" applyFont="0" applyFill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</cellStyleXfs>
  <cellXfs count="45">
    <xf numFmtId="0" fontId="0" fillId="0" borderId="0" xfId="0"/>
    <xf numFmtId="166" fontId="24" fillId="2" borderId="0" xfId="0" applyNumberFormat="1" applyFont="1" applyFill="1"/>
    <xf numFmtId="167" fontId="25" fillId="0" borderId="1" xfId="0" applyNumberFormat="1" applyFont="1" applyBorder="1" applyAlignment="1">
      <alignment horizontal="right" vertical="center" wrapText="1"/>
    </xf>
    <xf numFmtId="167" fontId="26" fillId="28" borderId="1" xfId="0" applyNumberFormat="1" applyFont="1" applyFill="1" applyBorder="1" applyAlignment="1">
      <alignment horizontal="right" vertical="center" wrapText="1"/>
    </xf>
    <xf numFmtId="167" fontId="26" fillId="27" borderId="1" xfId="0" applyNumberFormat="1" applyFont="1" applyFill="1" applyBorder="1" applyAlignment="1">
      <alignment horizontal="right" vertical="center" wrapText="1"/>
    </xf>
    <xf numFmtId="167" fontId="26" fillId="0" borderId="1" xfId="0" applyNumberFormat="1" applyFont="1" applyBorder="1" applyAlignment="1">
      <alignment horizontal="right" vertical="center" wrapText="1"/>
    </xf>
    <xf numFmtId="167" fontId="26" fillId="29" borderId="1" xfId="0" applyNumberFormat="1" applyFont="1" applyFill="1" applyBorder="1" applyAlignment="1">
      <alignment horizontal="right" vertical="center" wrapText="1"/>
    </xf>
    <xf numFmtId="0" fontId="24" fillId="2" borderId="0" xfId="0" applyFont="1" applyFill="1"/>
    <xf numFmtId="49" fontId="24" fillId="2" borderId="0" xfId="0" applyNumberFormat="1" applyFont="1" applyFill="1" applyAlignment="1">
      <alignment horizontal="left" vertical="center" wrapText="1"/>
    </xf>
    <xf numFmtId="49" fontId="24" fillId="2" borderId="0" xfId="0" applyNumberFormat="1" applyFont="1" applyFill="1" applyAlignment="1">
      <alignment horizontal="right" vertical="top"/>
    </xf>
    <xf numFmtId="164" fontId="24" fillId="2" borderId="0" xfId="0" applyNumberFormat="1" applyFont="1" applyFill="1" applyAlignment="1">
      <alignment horizontal="right" vertical="center"/>
    </xf>
    <xf numFmtId="49" fontId="24" fillId="2" borderId="0" xfId="0" applyNumberFormat="1" applyFont="1" applyFill="1" applyAlignment="1">
      <alignment horizontal="right" vertical="top" wrapText="1"/>
    </xf>
    <xf numFmtId="4" fontId="24" fillId="2" borderId="0" xfId="0" applyNumberFormat="1" applyFont="1" applyFill="1" applyAlignment="1">
      <alignment horizontal="right" vertical="top" wrapText="1"/>
    </xf>
    <xf numFmtId="4" fontId="24" fillId="2" borderId="0" xfId="0" applyNumberFormat="1" applyFont="1" applyFill="1"/>
    <xf numFmtId="49" fontId="24" fillId="2" borderId="0" xfId="0" applyNumberFormat="1" applyFont="1" applyFill="1" applyAlignment="1">
      <alignment horizontal="right" vertical="center" wrapText="1"/>
    </xf>
    <xf numFmtId="49" fontId="27" fillId="2" borderId="0" xfId="0" applyNumberFormat="1" applyFont="1" applyFill="1" applyAlignment="1">
      <alignment horizontal="left" vertical="center" wrapText="1"/>
    </xf>
    <xf numFmtId="49" fontId="27" fillId="2" borderId="0" xfId="0" applyNumberFormat="1" applyFont="1" applyFill="1" applyAlignment="1">
      <alignment horizontal="right" vertical="center" wrapText="1"/>
    </xf>
    <xf numFmtId="49" fontId="28" fillId="2" borderId="0" xfId="0" applyNumberFormat="1" applyFont="1" applyFill="1" applyAlignment="1">
      <alignment horizontal="left" vertical="center" wrapText="1"/>
    </xf>
    <xf numFmtId="0" fontId="29" fillId="0" borderId="0" xfId="0" applyFont="1"/>
    <xf numFmtId="0" fontId="25" fillId="26" borderId="1" xfId="0" applyNumberFormat="1" applyFont="1" applyFill="1" applyBorder="1" applyAlignment="1">
      <alignment horizontal="center" vertical="center" wrapText="1"/>
    </xf>
    <xf numFmtId="4" fontId="25" fillId="26" borderId="1" xfId="0" applyNumberFormat="1" applyFont="1" applyFill="1" applyBorder="1" applyAlignment="1">
      <alignment horizontal="center" vertical="center" wrapText="1"/>
    </xf>
    <xf numFmtId="49" fontId="26" fillId="28" borderId="1" xfId="0" applyNumberFormat="1" applyFont="1" applyFill="1" applyBorder="1" applyAlignment="1">
      <alignment horizontal="left" vertical="center"/>
    </xf>
    <xf numFmtId="0" fontId="26" fillId="28" borderId="1" xfId="0" applyNumberFormat="1" applyFont="1" applyFill="1" applyBorder="1" applyAlignment="1">
      <alignment horizontal="left" vertical="center" wrapText="1"/>
    </xf>
    <xf numFmtId="49" fontId="26" fillId="27" borderId="1" xfId="0" applyNumberFormat="1" applyFont="1" applyFill="1" applyBorder="1" applyAlignment="1">
      <alignment horizontal="left" vertical="center"/>
    </xf>
    <xf numFmtId="0" fontId="26" fillId="27" borderId="1" xfId="0" applyNumberFormat="1" applyFont="1" applyFill="1" applyBorder="1" applyAlignment="1">
      <alignment horizontal="left" vertical="center" wrapText="1"/>
    </xf>
    <xf numFmtId="167" fontId="26" fillId="27" borderId="1" xfId="0" applyNumberFormat="1" applyFont="1" applyFill="1" applyBorder="1" applyAlignment="1">
      <alignment horizontal="right" vertical="center"/>
    </xf>
    <xf numFmtId="49" fontId="26" fillId="0" borderId="1" xfId="0" applyNumberFormat="1" applyFont="1" applyBorder="1" applyAlignment="1">
      <alignment horizontal="left" vertical="center"/>
    </xf>
    <xf numFmtId="0" fontId="26" fillId="0" borderId="1" xfId="0" applyNumberFormat="1" applyFont="1" applyBorder="1" applyAlignment="1">
      <alignment horizontal="left" vertical="center" wrapText="1"/>
    </xf>
    <xf numFmtId="167" fontId="26" fillId="0" borderId="1" xfId="0" applyNumberFormat="1" applyFont="1" applyBorder="1" applyAlignment="1">
      <alignment horizontal="right" vertical="center"/>
    </xf>
    <xf numFmtId="49" fontId="25" fillId="0" borderId="1" xfId="0" applyNumberFormat="1" applyFont="1" applyBorder="1" applyAlignment="1">
      <alignment horizontal="left" vertical="center"/>
    </xf>
    <xf numFmtId="0" fontId="25" fillId="0" borderId="1" xfId="0" applyNumberFormat="1" applyFont="1" applyBorder="1" applyAlignment="1">
      <alignment horizontal="left" vertical="center" wrapText="1"/>
    </xf>
    <xf numFmtId="167" fontId="25" fillId="0" borderId="1" xfId="0" applyNumberFormat="1" applyFont="1" applyBorder="1" applyAlignment="1">
      <alignment horizontal="right" vertical="center"/>
    </xf>
    <xf numFmtId="49" fontId="25" fillId="30" borderId="1" xfId="0" applyNumberFormat="1" applyFont="1" applyFill="1" applyBorder="1" applyAlignment="1">
      <alignment horizontal="left" vertical="center"/>
    </xf>
    <xf numFmtId="0" fontId="25" fillId="30" borderId="1" xfId="0" applyNumberFormat="1" applyFont="1" applyFill="1" applyBorder="1" applyAlignment="1">
      <alignment horizontal="left" vertical="center" wrapText="1"/>
    </xf>
    <xf numFmtId="168" fontId="29" fillId="0" borderId="0" xfId="0" applyNumberFormat="1" applyFont="1"/>
    <xf numFmtId="167" fontId="30" fillId="27" borderId="1" xfId="0" applyNumberFormat="1" applyFont="1" applyFill="1" applyBorder="1" applyAlignment="1">
      <alignment horizontal="right" vertical="center" wrapText="1"/>
    </xf>
    <xf numFmtId="49" fontId="24" fillId="2" borderId="0" xfId="0" applyNumberFormat="1" applyFont="1" applyFill="1" applyAlignment="1">
      <alignment horizontal="right" vertical="top" wrapText="1"/>
    </xf>
    <xf numFmtId="166" fontId="25" fillId="26" borderId="1" xfId="0" applyNumberFormat="1" applyFont="1" applyFill="1" applyBorder="1" applyAlignment="1">
      <alignment horizontal="center" vertical="center" wrapText="1"/>
    </xf>
    <xf numFmtId="49" fontId="24" fillId="2" borderId="0" xfId="0" applyNumberFormat="1" applyFont="1" applyFill="1" applyAlignment="1">
      <alignment horizontal="right" vertical="top"/>
    </xf>
    <xf numFmtId="166" fontId="24" fillId="2" borderId="0" xfId="0" applyNumberFormat="1" applyFont="1" applyFill="1" applyAlignment="1">
      <alignment horizontal="right" vertical="top"/>
    </xf>
    <xf numFmtId="0" fontId="25" fillId="26" borderId="1" xfId="0" applyNumberFormat="1" applyFont="1" applyFill="1" applyBorder="1" applyAlignment="1">
      <alignment horizontal="center" vertical="center"/>
    </xf>
    <xf numFmtId="49" fontId="27" fillId="2" borderId="0" xfId="0" applyNumberFormat="1" applyFont="1" applyFill="1" applyAlignment="1">
      <alignment horizontal="center" vertical="top" wrapText="1"/>
    </xf>
    <xf numFmtId="0" fontId="26" fillId="26" borderId="13" xfId="0" applyNumberFormat="1" applyFont="1" applyFill="1" applyBorder="1" applyAlignment="1">
      <alignment horizontal="center" vertical="center" wrapText="1"/>
    </xf>
    <xf numFmtId="0" fontId="26" fillId="26" borderId="14" xfId="0" applyNumberFormat="1" applyFont="1" applyFill="1" applyBorder="1" applyAlignment="1">
      <alignment horizontal="center" vertical="center" wrapText="1"/>
    </xf>
    <xf numFmtId="166" fontId="24" fillId="2" borderId="0" xfId="0" applyNumberFormat="1" applyFont="1" applyFill="1" applyAlignment="1">
      <alignment horizontal="right" vertical="top" wrapText="1"/>
    </xf>
  </cellXfs>
  <cellStyles count="614">
    <cellStyle name="20% - Акцент1 2" xfId="2"/>
    <cellStyle name="20% - Акцент1 2 2" xfId="3"/>
    <cellStyle name="20% - Акцент1 2 3" xfId="4"/>
    <cellStyle name="20% - Акцент1 2 4" xfId="5"/>
    <cellStyle name="20% - Акцент1 3" xfId="6"/>
    <cellStyle name="20% - Акцент1 4" xfId="7"/>
    <cellStyle name="20% - Акцент2 2" xfId="8"/>
    <cellStyle name="20% - Акцент2 2 2" xfId="9"/>
    <cellStyle name="20% - Акцент2 2 3" xfId="10"/>
    <cellStyle name="20% - Акцент2 2 4" xfId="11"/>
    <cellStyle name="20% - Акцент2 3" xfId="12"/>
    <cellStyle name="20% - Акцент2 4" xfId="13"/>
    <cellStyle name="20% - Акцент3 2" xfId="14"/>
    <cellStyle name="20% - Акцент3 2 2" xfId="15"/>
    <cellStyle name="20% - Акцент3 2 3" xfId="16"/>
    <cellStyle name="20% - Акцент3 2 4" xfId="17"/>
    <cellStyle name="20% - Акцент3 3" xfId="18"/>
    <cellStyle name="20% - Акцент3 4" xfId="19"/>
    <cellStyle name="20% - Акцент4 2" xfId="20"/>
    <cellStyle name="20% - Акцент4 2 2" xfId="21"/>
    <cellStyle name="20% - Акцент4 2 3" xfId="22"/>
    <cellStyle name="20% - Акцент4 2 4" xfId="23"/>
    <cellStyle name="20% - Акцент4 3" xfId="24"/>
    <cellStyle name="20% - Акцент4 4" xfId="25"/>
    <cellStyle name="20% - Акцент5 2" xfId="26"/>
    <cellStyle name="20% - Акцент5 2 2" xfId="27"/>
    <cellStyle name="20% - Акцент5 2 3" xfId="28"/>
    <cellStyle name="20% - Акцент5 2 4" xfId="29"/>
    <cellStyle name="20% - Акцент5 3" xfId="30"/>
    <cellStyle name="20% - Акцент5 4" xfId="31"/>
    <cellStyle name="20% - Акцент6 2" xfId="32"/>
    <cellStyle name="20% - Акцент6 2 2" xfId="33"/>
    <cellStyle name="20% - Акцент6 2 3" xfId="34"/>
    <cellStyle name="20% - Акцент6 2 4" xfId="35"/>
    <cellStyle name="20% - Акцент6 3" xfId="36"/>
    <cellStyle name="20% - Акцент6 4" xfId="37"/>
    <cellStyle name="40% - Акцент1 2" xfId="38"/>
    <cellStyle name="40% - Акцент1 2 2" xfId="39"/>
    <cellStyle name="40% - Акцент1 2 3" xfId="40"/>
    <cellStyle name="40% - Акцент1 2 4" xfId="41"/>
    <cellStyle name="40% - Акцент1 3" xfId="42"/>
    <cellStyle name="40% - Акцент1 4" xfId="43"/>
    <cellStyle name="40% - Акцент2 2" xfId="44"/>
    <cellStyle name="40% - Акцент2 2 2" xfId="45"/>
    <cellStyle name="40% - Акцент2 2 3" xfId="46"/>
    <cellStyle name="40% - Акцент2 2 4" xfId="47"/>
    <cellStyle name="40% - Акцент2 3" xfId="48"/>
    <cellStyle name="40% - Акцент2 4" xfId="49"/>
    <cellStyle name="40% - Акцент3 2" xfId="50"/>
    <cellStyle name="40% - Акцент3 2 2" xfId="51"/>
    <cellStyle name="40% - Акцент3 2 3" xfId="52"/>
    <cellStyle name="40% - Акцент3 2 4" xfId="53"/>
    <cellStyle name="40% - Акцент3 3" xfId="54"/>
    <cellStyle name="40% - Акцент3 4" xfId="55"/>
    <cellStyle name="40% - Акцент4 2" xfId="56"/>
    <cellStyle name="40% - Акцент4 2 2" xfId="57"/>
    <cellStyle name="40% - Акцент4 2 3" xfId="58"/>
    <cellStyle name="40% - Акцент4 2 4" xfId="59"/>
    <cellStyle name="40% - Акцент4 3" xfId="60"/>
    <cellStyle name="40% - Акцент4 4" xfId="61"/>
    <cellStyle name="40% - Акцент5 2" xfId="62"/>
    <cellStyle name="40% - Акцент5 2 2" xfId="63"/>
    <cellStyle name="40% - Акцент5 2 3" xfId="64"/>
    <cellStyle name="40% - Акцент5 2 4" xfId="65"/>
    <cellStyle name="40% - Акцент5 3" xfId="66"/>
    <cellStyle name="40% - Акцент5 4" xfId="67"/>
    <cellStyle name="40% - Акцент6 2" xfId="68"/>
    <cellStyle name="40% - Акцент6 2 2" xfId="69"/>
    <cellStyle name="40% - Акцент6 2 3" xfId="70"/>
    <cellStyle name="40% - Акцент6 2 4" xfId="71"/>
    <cellStyle name="40% - Акцент6 3" xfId="72"/>
    <cellStyle name="40% - Акцент6 4" xfId="73"/>
    <cellStyle name="60% - Акцент1 2" xfId="74"/>
    <cellStyle name="60% - Акцент1 2 2" xfId="75"/>
    <cellStyle name="60% - Акцент1 2 3" xfId="76"/>
    <cellStyle name="60% - Акцент1 2 4" xfId="77"/>
    <cellStyle name="60% - Акцент1 3" xfId="78"/>
    <cellStyle name="60% - Акцент1 4" xfId="79"/>
    <cellStyle name="60% - Акцент2 2" xfId="80"/>
    <cellStyle name="60% - Акцент2 2 2" xfId="81"/>
    <cellStyle name="60% - Акцент2 2 3" xfId="82"/>
    <cellStyle name="60% - Акцент2 2 4" xfId="83"/>
    <cellStyle name="60% - Акцент2 3" xfId="84"/>
    <cellStyle name="60% - Акцент2 4" xfId="85"/>
    <cellStyle name="60% - Акцент3 2" xfId="86"/>
    <cellStyle name="60% - Акцент3 2 2" xfId="87"/>
    <cellStyle name="60% - Акцент3 2 3" xfId="88"/>
    <cellStyle name="60% - Акцент3 2 4" xfId="89"/>
    <cellStyle name="60% - Акцент3 3" xfId="90"/>
    <cellStyle name="60% - Акцент3 4" xfId="91"/>
    <cellStyle name="60% - Акцент4 2" xfId="92"/>
    <cellStyle name="60% - Акцент4 2 2" xfId="93"/>
    <cellStyle name="60% - Акцент4 2 3" xfId="94"/>
    <cellStyle name="60% - Акцент4 2 4" xfId="95"/>
    <cellStyle name="60% - Акцент4 3" xfId="96"/>
    <cellStyle name="60% - Акцент4 4" xfId="97"/>
    <cellStyle name="60% - Акцент5 2" xfId="98"/>
    <cellStyle name="60% - Акцент5 2 2" xfId="99"/>
    <cellStyle name="60% - Акцент5 2 3" xfId="100"/>
    <cellStyle name="60% - Акцент5 2 4" xfId="101"/>
    <cellStyle name="60% - Акцент5 3" xfId="102"/>
    <cellStyle name="60% - Акцент5 4" xfId="103"/>
    <cellStyle name="60% - Акцент6 2" xfId="104"/>
    <cellStyle name="60% - Акцент6 2 2" xfId="105"/>
    <cellStyle name="60% - Акцент6 2 3" xfId="106"/>
    <cellStyle name="60% - Акцент6 2 4" xfId="107"/>
    <cellStyle name="60% - Акцент6 3" xfId="108"/>
    <cellStyle name="60% - Акцент6 4" xfId="109"/>
    <cellStyle name="Акцент1 2" xfId="110"/>
    <cellStyle name="Акцент1 2 2" xfId="111"/>
    <cellStyle name="Акцент1 2 3" xfId="112"/>
    <cellStyle name="Акцент1 2 4" xfId="113"/>
    <cellStyle name="Акцент1 3" xfId="114"/>
    <cellStyle name="Акцент1 4" xfId="115"/>
    <cellStyle name="Акцент2 2" xfId="116"/>
    <cellStyle name="Акцент2 2 2" xfId="117"/>
    <cellStyle name="Акцент2 2 3" xfId="118"/>
    <cellStyle name="Акцент2 2 4" xfId="119"/>
    <cellStyle name="Акцент2 3" xfId="120"/>
    <cellStyle name="Акцент2 4" xfId="121"/>
    <cellStyle name="Акцент3 2" xfId="122"/>
    <cellStyle name="Акцент3 2 2" xfId="123"/>
    <cellStyle name="Акцент3 2 3" xfId="124"/>
    <cellStyle name="Акцент3 2 4" xfId="125"/>
    <cellStyle name="Акцент3 3" xfId="126"/>
    <cellStyle name="Акцент3 4" xfId="127"/>
    <cellStyle name="Акцент4 2" xfId="128"/>
    <cellStyle name="Акцент4 2 2" xfId="129"/>
    <cellStyle name="Акцент4 2 3" xfId="130"/>
    <cellStyle name="Акцент4 2 4" xfId="131"/>
    <cellStyle name="Акцент4 3" xfId="132"/>
    <cellStyle name="Акцент4 4" xfId="133"/>
    <cellStyle name="Акцент5 2" xfId="134"/>
    <cellStyle name="Акцент5 2 2" xfId="135"/>
    <cellStyle name="Акцент5 2 3" xfId="136"/>
    <cellStyle name="Акцент5 2 4" xfId="137"/>
    <cellStyle name="Акцент5 3" xfId="138"/>
    <cellStyle name="Акцент5 4" xfId="139"/>
    <cellStyle name="Акцент6 2" xfId="140"/>
    <cellStyle name="Акцент6 2 2" xfId="141"/>
    <cellStyle name="Акцент6 2 3" xfId="142"/>
    <cellStyle name="Акцент6 2 4" xfId="143"/>
    <cellStyle name="Акцент6 3" xfId="144"/>
    <cellStyle name="Акцент6 4" xfId="145"/>
    <cellStyle name="Ввод  2" xfId="146"/>
    <cellStyle name="Ввод  2 2" xfId="147"/>
    <cellStyle name="Ввод  2 3" xfId="148"/>
    <cellStyle name="Ввод  2 4" xfId="149"/>
    <cellStyle name="Ввод  3" xfId="150"/>
    <cellStyle name="Ввод  4" xfId="151"/>
    <cellStyle name="Вывод 2" xfId="152"/>
    <cellStyle name="Вывод 2 2" xfId="153"/>
    <cellStyle name="Вывод 2 3" xfId="154"/>
    <cellStyle name="Вывод 2 4" xfId="155"/>
    <cellStyle name="Вывод 3" xfId="156"/>
    <cellStyle name="Вывод 4" xfId="157"/>
    <cellStyle name="Вычисление 2" xfId="158"/>
    <cellStyle name="Вычисление 2 2" xfId="159"/>
    <cellStyle name="Вычисление 2 3" xfId="160"/>
    <cellStyle name="Вычисление 2 4" xfId="161"/>
    <cellStyle name="Вычисление 3" xfId="162"/>
    <cellStyle name="Вычисление 4" xfId="163"/>
    <cellStyle name="Денежный [0] 10" xfId="164"/>
    <cellStyle name="Денежный [0] 11" xfId="165"/>
    <cellStyle name="Денежный [0] 12" xfId="166"/>
    <cellStyle name="Денежный [0] 13" xfId="167"/>
    <cellStyle name="Денежный [0] 14 2" xfId="168"/>
    <cellStyle name="Денежный [0] 14 3" xfId="169"/>
    <cellStyle name="Денежный [0] 14 4" xfId="170"/>
    <cellStyle name="Денежный [0] 15 2" xfId="171"/>
    <cellStyle name="Денежный [0] 15 3" xfId="172"/>
    <cellStyle name="Денежный [0] 15 4" xfId="173"/>
    <cellStyle name="Денежный [0] 16 2" xfId="174"/>
    <cellStyle name="Денежный [0] 16 3" xfId="175"/>
    <cellStyle name="Денежный [0] 16 4" xfId="176"/>
    <cellStyle name="Денежный [0] 17 2" xfId="177"/>
    <cellStyle name="Денежный [0] 17 3" xfId="178"/>
    <cellStyle name="Денежный [0] 17 4" xfId="179"/>
    <cellStyle name="Денежный [0] 18 2" xfId="180"/>
    <cellStyle name="Денежный [0] 18 3" xfId="181"/>
    <cellStyle name="Денежный [0] 18 4" xfId="182"/>
    <cellStyle name="Денежный [0] 19" xfId="183"/>
    <cellStyle name="Денежный [0] 19 2" xfId="184"/>
    <cellStyle name="Денежный [0] 19 3" xfId="185"/>
    <cellStyle name="Денежный [0] 19 4" xfId="186"/>
    <cellStyle name="Денежный [0] 2 2" xfId="187"/>
    <cellStyle name="Денежный [0] 2 3" xfId="188"/>
    <cellStyle name="Денежный [0] 2 4" xfId="189"/>
    <cellStyle name="Денежный [0] 20 2" xfId="190"/>
    <cellStyle name="Денежный [0] 21 2" xfId="191"/>
    <cellStyle name="Денежный [0] 22 2" xfId="192"/>
    <cellStyle name="Денежный [0] 23 2" xfId="193"/>
    <cellStyle name="Денежный [0] 24 2" xfId="194"/>
    <cellStyle name="Денежный [0] 26" xfId="195"/>
    <cellStyle name="Денежный [0] 27" xfId="196"/>
    <cellStyle name="Денежный [0] 3 2" xfId="197"/>
    <cellStyle name="Денежный [0] 3 3" xfId="198"/>
    <cellStyle name="Денежный [0] 3 4" xfId="199"/>
    <cellStyle name="Денежный [0] 4 2" xfId="200"/>
    <cellStyle name="Денежный [0] 4 3" xfId="201"/>
    <cellStyle name="Денежный [0] 4 4" xfId="202"/>
    <cellStyle name="Денежный [0] 5 2" xfId="203"/>
    <cellStyle name="Денежный [0] 5 3" xfId="204"/>
    <cellStyle name="Денежный [0] 5 4" xfId="205"/>
    <cellStyle name="Денежный [0] 6 2" xfId="206"/>
    <cellStyle name="Денежный [0] 6 3" xfId="207"/>
    <cellStyle name="Денежный [0] 6 4" xfId="208"/>
    <cellStyle name="Денежный [0] 7 2" xfId="209"/>
    <cellStyle name="Денежный [0] 7 3" xfId="210"/>
    <cellStyle name="Денежный [0] 7 4" xfId="211"/>
    <cellStyle name="Денежный [0] 8 2" xfId="212"/>
    <cellStyle name="Денежный [0] 8 3" xfId="213"/>
    <cellStyle name="Денежный [0] 8 4" xfId="214"/>
    <cellStyle name="Денежный [0] 9" xfId="215"/>
    <cellStyle name="Денежный 10" xfId="216"/>
    <cellStyle name="Денежный 11" xfId="217"/>
    <cellStyle name="Денежный 12" xfId="218"/>
    <cellStyle name="Денежный 13" xfId="219"/>
    <cellStyle name="Денежный 14 2" xfId="220"/>
    <cellStyle name="Денежный 14 3" xfId="221"/>
    <cellStyle name="Денежный 14 4" xfId="222"/>
    <cellStyle name="Денежный 15 2" xfId="223"/>
    <cellStyle name="Денежный 15 3" xfId="224"/>
    <cellStyle name="Денежный 15 4" xfId="225"/>
    <cellStyle name="Денежный 16 2" xfId="226"/>
    <cellStyle name="Денежный 16 3" xfId="227"/>
    <cellStyle name="Денежный 16 4" xfId="228"/>
    <cellStyle name="Денежный 17 2" xfId="229"/>
    <cellStyle name="Денежный 17 3" xfId="230"/>
    <cellStyle name="Денежный 17 4" xfId="231"/>
    <cellStyle name="Денежный 18 2" xfId="232"/>
    <cellStyle name="Денежный 18 3" xfId="233"/>
    <cellStyle name="Денежный 18 4" xfId="234"/>
    <cellStyle name="Денежный 19" xfId="235"/>
    <cellStyle name="Денежный 19 2" xfId="236"/>
    <cellStyle name="Денежный 19 3" xfId="237"/>
    <cellStyle name="Денежный 19 4" xfId="238"/>
    <cellStyle name="Денежный 2 2" xfId="239"/>
    <cellStyle name="Денежный 2 3" xfId="240"/>
    <cellStyle name="Денежный 2 4" xfId="241"/>
    <cellStyle name="Денежный 20" xfId="242"/>
    <cellStyle name="Денежный 20 2" xfId="243"/>
    <cellStyle name="Денежный 20 3" xfId="244"/>
    <cellStyle name="Денежный 20 4" xfId="245"/>
    <cellStyle name="Денежный 21" xfId="246"/>
    <cellStyle name="Денежный 22" xfId="247"/>
    <cellStyle name="Денежный 23" xfId="248"/>
    <cellStyle name="Денежный 24 2" xfId="249"/>
    <cellStyle name="Денежный 25 2" xfId="250"/>
    <cellStyle name="Денежный 26 2" xfId="251"/>
    <cellStyle name="Денежный 27 2" xfId="252"/>
    <cellStyle name="Денежный 28 2" xfId="253"/>
    <cellStyle name="Денежный 3 2" xfId="254"/>
    <cellStyle name="Денежный 3 3" xfId="255"/>
    <cellStyle name="Денежный 3 4" xfId="256"/>
    <cellStyle name="Денежный 30" xfId="257"/>
    <cellStyle name="Денежный 31" xfId="258"/>
    <cellStyle name="Денежный 32" xfId="259"/>
    <cellStyle name="Денежный 33" xfId="260"/>
    <cellStyle name="Денежный 34" xfId="261"/>
    <cellStyle name="Денежный 35" xfId="262"/>
    <cellStyle name="Денежный 36" xfId="263"/>
    <cellStyle name="Денежный 37" xfId="264"/>
    <cellStyle name="Денежный 38" xfId="265"/>
    <cellStyle name="Денежный 4 2" xfId="266"/>
    <cellStyle name="Денежный 4 3" xfId="267"/>
    <cellStyle name="Денежный 4 4" xfId="268"/>
    <cellStyle name="Денежный 5 2" xfId="269"/>
    <cellStyle name="Денежный 5 3" xfId="270"/>
    <cellStyle name="Денежный 5 4" xfId="271"/>
    <cellStyle name="Денежный 6 2" xfId="272"/>
    <cellStyle name="Денежный 6 3" xfId="273"/>
    <cellStyle name="Денежный 6 4" xfId="274"/>
    <cellStyle name="Денежный 7 2" xfId="275"/>
    <cellStyle name="Денежный 7 3" xfId="276"/>
    <cellStyle name="Денежный 7 4" xfId="277"/>
    <cellStyle name="Денежный 8 2" xfId="278"/>
    <cellStyle name="Денежный 8 3" xfId="279"/>
    <cellStyle name="Денежный 8 4" xfId="280"/>
    <cellStyle name="Денежный 9" xfId="281"/>
    <cellStyle name="Заголовок 1 2" xfId="282"/>
    <cellStyle name="Заголовок 1 2 2" xfId="283"/>
    <cellStyle name="Заголовок 1 2 3" xfId="284"/>
    <cellStyle name="Заголовок 1 2 4" xfId="285"/>
    <cellStyle name="Заголовок 1 3" xfId="286"/>
    <cellStyle name="Заголовок 1 4" xfId="287"/>
    <cellStyle name="Заголовок 2 2" xfId="288"/>
    <cellStyle name="Заголовок 2 2 2" xfId="289"/>
    <cellStyle name="Заголовок 2 2 3" xfId="290"/>
    <cellStyle name="Заголовок 2 2 4" xfId="291"/>
    <cellStyle name="Заголовок 2 3" xfId="292"/>
    <cellStyle name="Заголовок 2 4" xfId="293"/>
    <cellStyle name="Заголовок 3 2" xfId="294"/>
    <cellStyle name="Заголовок 3 2 2" xfId="295"/>
    <cellStyle name="Заголовок 3 2 3" xfId="296"/>
    <cellStyle name="Заголовок 3 2 4" xfId="297"/>
    <cellStyle name="Заголовок 3 3" xfId="298"/>
    <cellStyle name="Заголовок 3 4" xfId="299"/>
    <cellStyle name="Заголовок 4 2" xfId="300"/>
    <cellStyle name="Заголовок 4 2 2" xfId="301"/>
    <cellStyle name="Заголовок 4 2 3" xfId="302"/>
    <cellStyle name="Заголовок 4 2 4" xfId="303"/>
    <cellStyle name="Заголовок 4 3" xfId="304"/>
    <cellStyle name="Заголовок 4 4" xfId="305"/>
    <cellStyle name="Итог 2" xfId="306"/>
    <cellStyle name="Итог 2 2" xfId="307"/>
    <cellStyle name="Итог 2 3" xfId="308"/>
    <cellStyle name="Итог 2 4" xfId="309"/>
    <cellStyle name="Итог 3" xfId="310"/>
    <cellStyle name="Итог 4" xfId="311"/>
    <cellStyle name="Контрольная ячейка 2" xfId="312"/>
    <cellStyle name="Контрольная ячейка 2 2" xfId="313"/>
    <cellStyle name="Контрольная ячейка 2 3" xfId="314"/>
    <cellStyle name="Контрольная ячейка 2 4" xfId="315"/>
    <cellStyle name="Контрольная ячейка 3" xfId="316"/>
    <cellStyle name="Контрольная ячейка 4" xfId="317"/>
    <cellStyle name="Название 2" xfId="318"/>
    <cellStyle name="Название 2 2" xfId="319"/>
    <cellStyle name="Название 2 3" xfId="320"/>
    <cellStyle name="Название 2 4" xfId="321"/>
    <cellStyle name="Название 3" xfId="322"/>
    <cellStyle name="Название 4" xfId="323"/>
    <cellStyle name="Нейтральный 2" xfId="324"/>
    <cellStyle name="Нейтральный 2 2" xfId="325"/>
    <cellStyle name="Нейтральный 2 3" xfId="326"/>
    <cellStyle name="Нейтральный 2 4" xfId="327"/>
    <cellStyle name="Нейтральный 3" xfId="328"/>
    <cellStyle name="Нейтральный 4" xfId="329"/>
    <cellStyle name="Обычный" xfId="0" builtinId="0"/>
    <cellStyle name="Обычный 10" xfId="330"/>
    <cellStyle name="Обычный 11" xfId="331"/>
    <cellStyle name="Обычный 12 2" xfId="332"/>
    <cellStyle name="Обычный 12 3" xfId="333"/>
    <cellStyle name="Обычный 14" xfId="334"/>
    <cellStyle name="Обычный 15" xfId="335"/>
    <cellStyle name="Обычный 16" xfId="336"/>
    <cellStyle name="Обычный 17 2" xfId="337"/>
    <cellStyle name="Обычный 17 3" xfId="338"/>
    <cellStyle name="Обычный 17 4" xfId="339"/>
    <cellStyle name="Обычный 18 2" xfId="340"/>
    <cellStyle name="Обычный 18 3" xfId="341"/>
    <cellStyle name="Обычный 18 4" xfId="342"/>
    <cellStyle name="Обычный 2 2" xfId="343"/>
    <cellStyle name="Обычный 2 3" xfId="344"/>
    <cellStyle name="Обычный 2 4" xfId="345"/>
    <cellStyle name="Обычный 2 5" xfId="346"/>
    <cellStyle name="Обычный 2 6" xfId="347"/>
    <cellStyle name="Обычный 2 7" xfId="348"/>
    <cellStyle name="Обычный 2 8" xfId="349"/>
    <cellStyle name="Обычный 21 2" xfId="350"/>
    <cellStyle name="Обычный 21 3" xfId="351"/>
    <cellStyle name="Обычный 21 4" xfId="352"/>
    <cellStyle name="Обычный 22 2" xfId="353"/>
    <cellStyle name="Обычный 22 3" xfId="354"/>
    <cellStyle name="Обычный 22 4" xfId="355"/>
    <cellStyle name="Обычный 23 2" xfId="356"/>
    <cellStyle name="Обычный 23 3" xfId="357"/>
    <cellStyle name="Обычный 23 4" xfId="358"/>
    <cellStyle name="Обычный 24" xfId="359"/>
    <cellStyle name="Обычный 24 2" xfId="360"/>
    <cellStyle name="Обычный 24 3" xfId="361"/>
    <cellStyle name="Обычный 24 4" xfId="362"/>
    <cellStyle name="Обычный 25" xfId="363"/>
    <cellStyle name="Обычный 25 2" xfId="364"/>
    <cellStyle name="Обычный 25 3" xfId="365"/>
    <cellStyle name="Обычный 25 4" xfId="366"/>
    <cellStyle name="Обычный 26" xfId="367"/>
    <cellStyle name="Обычный 26 2" xfId="368"/>
    <cellStyle name="Обычный 27" xfId="369"/>
    <cellStyle name="Обычный 27 2" xfId="370"/>
    <cellStyle name="Обычный 28 2" xfId="371"/>
    <cellStyle name="Обычный 29 2" xfId="372"/>
    <cellStyle name="Обычный 3 2" xfId="373"/>
    <cellStyle name="Обычный 3 3" xfId="374"/>
    <cellStyle name="Обычный 3 4" xfId="375"/>
    <cellStyle name="Обычный 30 2" xfId="376"/>
    <cellStyle name="Обычный 31 2" xfId="377"/>
    <cellStyle name="Обычный 32 2" xfId="378"/>
    <cellStyle name="Обычный 33 2" xfId="379"/>
    <cellStyle name="Обычный 34" xfId="380"/>
    <cellStyle name="Обычный 4 2" xfId="381"/>
    <cellStyle name="Обычный 4 3" xfId="382"/>
    <cellStyle name="Обычный 4 4" xfId="383"/>
    <cellStyle name="Обычный 5 2" xfId="384"/>
    <cellStyle name="Обычный 5 3" xfId="385"/>
    <cellStyle name="Обычный 5 4" xfId="386"/>
    <cellStyle name="Обычный 6 2" xfId="387"/>
    <cellStyle name="Обычный 6 3" xfId="388"/>
    <cellStyle name="Обычный 6 4" xfId="389"/>
    <cellStyle name="Обычный 7 2" xfId="390"/>
    <cellStyle name="Обычный 7 3" xfId="391"/>
    <cellStyle name="Обычный 7 4" xfId="392"/>
    <cellStyle name="Обычный 8 2" xfId="393"/>
    <cellStyle name="Обычный 8 3" xfId="394"/>
    <cellStyle name="Обычный 8 4" xfId="395"/>
    <cellStyle name="Обычный 9" xfId="396"/>
    <cellStyle name="Плохой 2" xfId="397"/>
    <cellStyle name="Плохой 2 2" xfId="398"/>
    <cellStyle name="Плохой 2 3" xfId="399"/>
    <cellStyle name="Плохой 2 4" xfId="400"/>
    <cellStyle name="Плохой 3" xfId="401"/>
    <cellStyle name="Плохой 4" xfId="402"/>
    <cellStyle name="Пояснение 2" xfId="403"/>
    <cellStyle name="Пояснение 2 2" xfId="404"/>
    <cellStyle name="Пояснение 2 3" xfId="405"/>
    <cellStyle name="Пояснение 2 4" xfId="406"/>
    <cellStyle name="Пояснение 3" xfId="407"/>
    <cellStyle name="Пояснение 4" xfId="408"/>
    <cellStyle name="Примечание 2 2" xfId="409"/>
    <cellStyle name="Примечание 2 3" xfId="410"/>
    <cellStyle name="Примечание 2 4" xfId="411"/>
    <cellStyle name="Примечание 3 2" xfId="412"/>
    <cellStyle name="Примечание 3 3" xfId="413"/>
    <cellStyle name="Примечание 3 4" xfId="414"/>
    <cellStyle name="Примечание 4 2" xfId="415"/>
    <cellStyle name="Примечание 4 3" xfId="416"/>
    <cellStyle name="Примечание 4 4" xfId="417"/>
    <cellStyle name="Примечание 5" xfId="418"/>
    <cellStyle name="Примечание 6" xfId="419"/>
    <cellStyle name="Примечание 7" xfId="420"/>
    <cellStyle name="Процентный 10" xfId="421"/>
    <cellStyle name="Процентный 11" xfId="422"/>
    <cellStyle name="Процентный 12" xfId="423"/>
    <cellStyle name="Процентный 13" xfId="424"/>
    <cellStyle name="Процентный 14 2" xfId="425"/>
    <cellStyle name="Процентный 14 3" xfId="426"/>
    <cellStyle name="Процентный 14 4" xfId="427"/>
    <cellStyle name="Процентный 15 2" xfId="428"/>
    <cellStyle name="Процентный 15 3" xfId="429"/>
    <cellStyle name="Процентный 15 4" xfId="430"/>
    <cellStyle name="Процентный 16 2" xfId="431"/>
    <cellStyle name="Процентный 16 3" xfId="432"/>
    <cellStyle name="Процентный 16 4" xfId="433"/>
    <cellStyle name="Процентный 17 2" xfId="434"/>
    <cellStyle name="Процентный 17 3" xfId="435"/>
    <cellStyle name="Процентный 17 4" xfId="436"/>
    <cellStyle name="Процентный 18 2" xfId="437"/>
    <cellStyle name="Процентный 18 3" xfId="438"/>
    <cellStyle name="Процентный 18 4" xfId="439"/>
    <cellStyle name="Процентный 19" xfId="440"/>
    <cellStyle name="Процентный 19 2" xfId="441"/>
    <cellStyle name="Процентный 19 3" xfId="442"/>
    <cellStyle name="Процентный 19 4" xfId="443"/>
    <cellStyle name="Процентный 2 2" xfId="444"/>
    <cellStyle name="Процентный 2 3" xfId="445"/>
    <cellStyle name="Процентный 2 4" xfId="446"/>
    <cellStyle name="Процентный 20" xfId="447"/>
    <cellStyle name="Процентный 21 2" xfId="448"/>
    <cellStyle name="Процентный 22 2" xfId="449"/>
    <cellStyle name="Процентный 23 2" xfId="450"/>
    <cellStyle name="Процентный 24 2" xfId="451"/>
    <cellStyle name="Процентный 25 2" xfId="452"/>
    <cellStyle name="Процентный 27" xfId="453"/>
    <cellStyle name="Процентный 28" xfId="454"/>
    <cellStyle name="Процентный 3 2" xfId="455"/>
    <cellStyle name="Процентный 3 3" xfId="456"/>
    <cellStyle name="Процентный 3 4" xfId="457"/>
    <cellStyle name="Процентный 4 2" xfId="458"/>
    <cellStyle name="Процентный 4 3" xfId="459"/>
    <cellStyle name="Процентный 4 4" xfId="460"/>
    <cellStyle name="Процентный 5 2" xfId="461"/>
    <cellStyle name="Процентный 5 3" xfId="462"/>
    <cellStyle name="Процентный 5 4" xfId="463"/>
    <cellStyle name="Процентный 6 2" xfId="464"/>
    <cellStyle name="Процентный 6 3" xfId="465"/>
    <cellStyle name="Процентный 6 4" xfId="466"/>
    <cellStyle name="Процентный 7 2" xfId="467"/>
    <cellStyle name="Процентный 7 3" xfId="468"/>
    <cellStyle name="Процентный 7 4" xfId="469"/>
    <cellStyle name="Процентный 8 2" xfId="470"/>
    <cellStyle name="Процентный 8 3" xfId="471"/>
    <cellStyle name="Процентный 8 4" xfId="472"/>
    <cellStyle name="Процентный 9" xfId="473"/>
    <cellStyle name="Связанная ячейка 2" xfId="474"/>
    <cellStyle name="Связанная ячейка 2 2" xfId="475"/>
    <cellStyle name="Связанная ячейка 2 3" xfId="476"/>
    <cellStyle name="Связанная ячейка 2 4" xfId="477"/>
    <cellStyle name="Связанная ячейка 3" xfId="478"/>
    <cellStyle name="Связанная ячейка 4" xfId="479"/>
    <cellStyle name="Текст предупреждения 2" xfId="480"/>
    <cellStyle name="Текст предупреждения 2 2" xfId="481"/>
    <cellStyle name="Текст предупреждения 2 3" xfId="482"/>
    <cellStyle name="Текст предупреждения 2 4" xfId="483"/>
    <cellStyle name="Текст предупреждения 3" xfId="484"/>
    <cellStyle name="Текст предупреждения 4" xfId="485"/>
    <cellStyle name="Финансовый [0] 10" xfId="486"/>
    <cellStyle name="Финансовый [0] 11" xfId="487"/>
    <cellStyle name="Финансовый [0] 12" xfId="488"/>
    <cellStyle name="Финансовый [0] 13" xfId="489"/>
    <cellStyle name="Финансовый [0] 14 2" xfId="490"/>
    <cellStyle name="Финансовый [0] 14 3" xfId="491"/>
    <cellStyle name="Финансовый [0] 14 4" xfId="492"/>
    <cellStyle name="Финансовый [0] 15 2" xfId="493"/>
    <cellStyle name="Финансовый [0] 15 3" xfId="494"/>
    <cellStyle name="Финансовый [0] 15 4" xfId="495"/>
    <cellStyle name="Финансовый [0] 16 2" xfId="496"/>
    <cellStyle name="Финансовый [0] 16 3" xfId="497"/>
    <cellStyle name="Финансовый [0] 16 4" xfId="498"/>
    <cellStyle name="Финансовый [0] 17 2" xfId="499"/>
    <cellStyle name="Финансовый [0] 17 3" xfId="500"/>
    <cellStyle name="Финансовый [0] 17 4" xfId="501"/>
    <cellStyle name="Финансовый [0] 18 2" xfId="502"/>
    <cellStyle name="Финансовый [0] 18 3" xfId="503"/>
    <cellStyle name="Финансовый [0] 18 4" xfId="504"/>
    <cellStyle name="Финансовый [0] 19" xfId="505"/>
    <cellStyle name="Финансовый [0] 19 2" xfId="506"/>
    <cellStyle name="Финансовый [0] 19 3" xfId="507"/>
    <cellStyle name="Финансовый [0] 19 4" xfId="508"/>
    <cellStyle name="Финансовый [0] 2 2" xfId="509"/>
    <cellStyle name="Финансовый [0] 2 3" xfId="510"/>
    <cellStyle name="Финансовый [0] 2 4" xfId="511"/>
    <cellStyle name="Финансовый [0] 20" xfId="512"/>
    <cellStyle name="Финансовый [0] 21 2" xfId="513"/>
    <cellStyle name="Финансовый [0] 22 2" xfId="514"/>
    <cellStyle name="Финансовый [0] 23 2" xfId="515"/>
    <cellStyle name="Финансовый [0] 24 2" xfId="516"/>
    <cellStyle name="Финансовый [0] 25 2" xfId="517"/>
    <cellStyle name="Финансовый [0] 27" xfId="518"/>
    <cellStyle name="Финансовый [0] 28" xfId="519"/>
    <cellStyle name="Финансовый [0] 3 2" xfId="520"/>
    <cellStyle name="Финансовый [0] 3 3" xfId="521"/>
    <cellStyle name="Финансовый [0] 3 4" xfId="522"/>
    <cellStyle name="Финансовый [0] 4 2" xfId="523"/>
    <cellStyle name="Финансовый [0] 4 3" xfId="524"/>
    <cellStyle name="Финансовый [0] 4 4" xfId="525"/>
    <cellStyle name="Финансовый [0] 5 2" xfId="526"/>
    <cellStyle name="Финансовый [0] 5 3" xfId="527"/>
    <cellStyle name="Финансовый [0] 5 4" xfId="528"/>
    <cellStyle name="Финансовый [0] 6 2" xfId="529"/>
    <cellStyle name="Финансовый [0] 6 3" xfId="530"/>
    <cellStyle name="Финансовый [0] 6 4" xfId="531"/>
    <cellStyle name="Финансовый [0] 7 2" xfId="532"/>
    <cellStyle name="Финансовый [0] 7 3" xfId="533"/>
    <cellStyle name="Финансовый [0] 7 4" xfId="534"/>
    <cellStyle name="Финансовый [0] 8 2" xfId="535"/>
    <cellStyle name="Финансовый [0] 8 3" xfId="536"/>
    <cellStyle name="Финансовый [0] 8 4" xfId="537"/>
    <cellStyle name="Финансовый [0] 9" xfId="538"/>
    <cellStyle name="Финансовый 10 2" xfId="539"/>
    <cellStyle name="Финансовый 10 3" xfId="540"/>
    <cellStyle name="Финансовый 10 4" xfId="541"/>
    <cellStyle name="Финансовый 11 2" xfId="542"/>
    <cellStyle name="Финансовый 12" xfId="543"/>
    <cellStyle name="Финансовый 13" xfId="544"/>
    <cellStyle name="Финансовый 14" xfId="545"/>
    <cellStyle name="Финансовый 15" xfId="546"/>
    <cellStyle name="Финансовый 16 2" xfId="547"/>
    <cellStyle name="Финансовый 16 3" xfId="548"/>
    <cellStyle name="Финансовый 16 4" xfId="549"/>
    <cellStyle name="Финансовый 17 2" xfId="550"/>
    <cellStyle name="Финансовый 17 3" xfId="551"/>
    <cellStyle name="Финансовый 17 4" xfId="552"/>
    <cellStyle name="Финансовый 18 2" xfId="553"/>
    <cellStyle name="Финансовый 18 3" xfId="554"/>
    <cellStyle name="Финансовый 18 4" xfId="555"/>
    <cellStyle name="Финансовый 19 2" xfId="556"/>
    <cellStyle name="Финансовый 19 3" xfId="557"/>
    <cellStyle name="Финансовый 19 4" xfId="558"/>
    <cellStyle name="Финансовый 2 2" xfId="559"/>
    <cellStyle name="Финансовый 2 3" xfId="560"/>
    <cellStyle name="Финансовый 2 4" xfId="561"/>
    <cellStyle name="Финансовый 20 2" xfId="562"/>
    <cellStyle name="Финансовый 20 3" xfId="563"/>
    <cellStyle name="Финансовый 20 4" xfId="564"/>
    <cellStyle name="Финансовый 21" xfId="565"/>
    <cellStyle name="Финансовый 21 2" xfId="566"/>
    <cellStyle name="Финансовый 21 3" xfId="567"/>
    <cellStyle name="Финансовый 21 4" xfId="568"/>
    <cellStyle name="Финансовый 22" xfId="569"/>
    <cellStyle name="Финансовый 22 2" xfId="570"/>
    <cellStyle name="Финансовый 22 3" xfId="571"/>
    <cellStyle name="Финансовый 22 4" xfId="572"/>
    <cellStyle name="Финансовый 23" xfId="573"/>
    <cellStyle name="Финансовый 24" xfId="574"/>
    <cellStyle name="Финансовый 25" xfId="575"/>
    <cellStyle name="Финансовый 26 2" xfId="576"/>
    <cellStyle name="Финансовый 27 2" xfId="577"/>
    <cellStyle name="Финансовый 28 2" xfId="578"/>
    <cellStyle name="Финансовый 29 2" xfId="579"/>
    <cellStyle name="Финансовый 3 2" xfId="580"/>
    <cellStyle name="Финансовый 3 3" xfId="581"/>
    <cellStyle name="Финансовый 3 4" xfId="582"/>
    <cellStyle name="Финансовый 30 2" xfId="583"/>
    <cellStyle name="Финансовый 32" xfId="584"/>
    <cellStyle name="Финансовый 33" xfId="585"/>
    <cellStyle name="Финансовый 34" xfId="586"/>
    <cellStyle name="Финансовый 35" xfId="587"/>
    <cellStyle name="Финансовый 36" xfId="588"/>
    <cellStyle name="Финансовый 37" xfId="589"/>
    <cellStyle name="Финансовый 38" xfId="590"/>
    <cellStyle name="Финансовый 39" xfId="591"/>
    <cellStyle name="Финансовый 4 2" xfId="592"/>
    <cellStyle name="Финансовый 4 3" xfId="593"/>
    <cellStyle name="Финансовый 4 4" xfId="594"/>
    <cellStyle name="Финансовый 40" xfId="595"/>
    <cellStyle name="Финансовый 5" xfId="1"/>
    <cellStyle name="Финансовый 5 2" xfId="596"/>
    <cellStyle name="Финансовый 5 3" xfId="597"/>
    <cellStyle name="Финансовый 5 4" xfId="598"/>
    <cellStyle name="Финансовый 7 2" xfId="599"/>
    <cellStyle name="Финансовый 7 3" xfId="600"/>
    <cellStyle name="Финансовый 7 4" xfId="601"/>
    <cellStyle name="Финансовый 8 2" xfId="602"/>
    <cellStyle name="Финансовый 8 3" xfId="603"/>
    <cellStyle name="Финансовый 8 4" xfId="604"/>
    <cellStyle name="Финансовый 9 2" xfId="605"/>
    <cellStyle name="Финансовый 9 3" xfId="606"/>
    <cellStyle name="Финансовый 9 4" xfId="607"/>
    <cellStyle name="Хороший 2" xfId="608"/>
    <cellStyle name="Хороший 2 2" xfId="609"/>
    <cellStyle name="Хороший 2 3" xfId="610"/>
    <cellStyle name="Хороший 2 4" xfId="611"/>
    <cellStyle name="Хороший 3" xfId="612"/>
    <cellStyle name="Хороший 4" xfId="613"/>
  </cellStyles>
  <dxfs count="0"/>
  <tableStyles count="0" defaultTableStyle="TableStyleMedium9" defaultPivotStyle="PivotStyleLight16"/>
  <colors>
    <mruColors>
      <color rgb="FF0000FF"/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A1:G187"/>
  <sheetViews>
    <sheetView tabSelected="1" zoomScaleSheetLayoutView="100" workbookViewId="0">
      <selection activeCell="L14" sqref="L14"/>
    </sheetView>
  </sheetViews>
  <sheetFormatPr defaultColWidth="9.140625" defaultRowHeight="12.75"/>
  <cols>
    <col min="1" max="1" width="2.7109375" style="7" customWidth="1"/>
    <col min="2" max="2" width="27.28515625" style="8" customWidth="1"/>
    <col min="3" max="3" width="48" style="10" customWidth="1"/>
    <col min="4" max="4" width="16.7109375" style="1" customWidth="1"/>
    <col min="5" max="6" width="16.7109375" style="7" customWidth="1"/>
    <col min="7" max="7" width="14.42578125" style="7" bestFit="1" customWidth="1"/>
    <col min="8" max="16384" width="9.140625" style="7"/>
  </cols>
  <sheetData>
    <row r="1" spans="2:6">
      <c r="C1" s="9"/>
      <c r="D1" s="39" t="s">
        <v>25</v>
      </c>
      <c r="E1" s="39"/>
      <c r="F1" s="39"/>
    </row>
    <row r="2" spans="2:6">
      <c r="C2" s="9"/>
      <c r="D2" s="39" t="s">
        <v>0</v>
      </c>
      <c r="E2" s="39"/>
      <c r="F2" s="39"/>
    </row>
    <row r="3" spans="2:6">
      <c r="C3" s="9"/>
      <c r="D3" s="39" t="s">
        <v>1</v>
      </c>
      <c r="E3" s="39"/>
      <c r="F3" s="39"/>
    </row>
    <row r="4" spans="2:6">
      <c r="C4" s="9"/>
      <c r="D4" s="39" t="s">
        <v>236</v>
      </c>
      <c r="E4" s="39"/>
      <c r="F4" s="39"/>
    </row>
    <row r="5" spans="2:6">
      <c r="C5" s="9"/>
      <c r="D5" s="44" t="s">
        <v>341</v>
      </c>
      <c r="E5" s="44"/>
      <c r="F5" s="44"/>
    </row>
    <row r="6" spans="2:6">
      <c r="E6" s="1"/>
      <c r="F6" s="1"/>
    </row>
    <row r="7" spans="2:6">
      <c r="C7" s="38" t="s">
        <v>25</v>
      </c>
      <c r="D7" s="38"/>
      <c r="E7" s="38"/>
      <c r="F7" s="38"/>
    </row>
    <row r="8" spans="2:6">
      <c r="C8" s="38" t="s">
        <v>0</v>
      </c>
      <c r="D8" s="38"/>
      <c r="E8" s="38"/>
      <c r="F8" s="38"/>
    </row>
    <row r="9" spans="2:6">
      <c r="C9" s="38" t="s">
        <v>1</v>
      </c>
      <c r="D9" s="38"/>
      <c r="E9" s="38"/>
      <c r="F9" s="38"/>
    </row>
    <row r="10" spans="2:6">
      <c r="C10" s="38" t="s">
        <v>236</v>
      </c>
      <c r="D10" s="38"/>
      <c r="E10" s="38"/>
      <c r="F10" s="38"/>
    </row>
    <row r="11" spans="2:6">
      <c r="C11" s="38" t="s">
        <v>338</v>
      </c>
      <c r="D11" s="38"/>
      <c r="E11" s="38"/>
      <c r="F11" s="38"/>
    </row>
    <row r="12" spans="2:6" ht="14.25" customHeight="1">
      <c r="C12" s="36" t="s">
        <v>339</v>
      </c>
      <c r="D12" s="36"/>
      <c r="E12" s="36"/>
      <c r="F12" s="36"/>
    </row>
    <row r="13" spans="2:6" ht="14.25" customHeight="1">
      <c r="C13" s="36" t="s">
        <v>340</v>
      </c>
      <c r="D13" s="36"/>
      <c r="E13" s="36"/>
      <c r="F13" s="36"/>
    </row>
    <row r="14" spans="2:6" ht="14.25" customHeight="1">
      <c r="C14" s="11"/>
      <c r="D14" s="12"/>
      <c r="E14" s="12"/>
      <c r="F14" s="12"/>
    </row>
    <row r="15" spans="2:6" ht="14.25" customHeight="1">
      <c r="C15" s="14"/>
      <c r="D15" s="13"/>
      <c r="E15" s="13"/>
      <c r="F15" s="13"/>
    </row>
    <row r="16" spans="2:6" ht="18" customHeight="1">
      <c r="B16" s="41" t="s">
        <v>235</v>
      </c>
      <c r="C16" s="41"/>
      <c r="D16" s="41"/>
      <c r="E16" s="41"/>
      <c r="F16" s="41"/>
    </row>
    <row r="17" spans="2:6" ht="15.75">
      <c r="B17" s="15"/>
      <c r="C17" s="16"/>
      <c r="D17" s="13"/>
      <c r="E17" s="13"/>
      <c r="F17" s="13"/>
    </row>
    <row r="18" spans="2:6" ht="15.75" customHeight="1">
      <c r="B18" s="17" t="s">
        <v>2</v>
      </c>
      <c r="D18" s="13"/>
      <c r="E18" s="13"/>
      <c r="F18" s="13"/>
    </row>
    <row r="19" spans="2:6" s="18" customFormat="1" ht="15" customHeight="1">
      <c r="B19" s="40" t="s">
        <v>26</v>
      </c>
      <c r="C19" s="40" t="s">
        <v>27</v>
      </c>
      <c r="D19" s="37" t="s">
        <v>28</v>
      </c>
      <c r="E19" s="40" t="s">
        <v>3</v>
      </c>
      <c r="F19" s="40"/>
    </row>
    <row r="20" spans="2:6" s="18" customFormat="1" ht="15" customHeight="1">
      <c r="B20" s="40"/>
      <c r="C20" s="40"/>
      <c r="D20" s="37"/>
      <c r="E20" s="19" t="s">
        <v>29</v>
      </c>
      <c r="F20" s="20" t="s">
        <v>30</v>
      </c>
    </row>
    <row r="21" spans="2:6" s="18" customFormat="1" ht="15" customHeight="1">
      <c r="B21" s="19">
        <v>1</v>
      </c>
      <c r="C21" s="19">
        <v>2</v>
      </c>
      <c r="D21" s="19">
        <v>3</v>
      </c>
      <c r="E21" s="19">
        <v>4</v>
      </c>
      <c r="F21" s="19">
        <v>5</v>
      </c>
    </row>
    <row r="22" spans="2:6" s="18" customFormat="1" ht="15" customHeight="1">
      <c r="B22" s="21" t="s">
        <v>31</v>
      </c>
      <c r="C22" s="22" t="s">
        <v>32</v>
      </c>
      <c r="D22" s="3">
        <f t="shared" ref="D22" si="0">D23+D33+D43+D60+D71+D78+D96+D107+D116+D128+D130</f>
        <v>1697518000</v>
      </c>
      <c r="E22" s="3">
        <f t="shared" ref="E22" si="1">E23+E33+E43+E60+E71+E78+E96+E107+E116+E128+E130</f>
        <v>1925007000</v>
      </c>
      <c r="F22" s="3">
        <f t="shared" ref="F22" si="2">F23+F33+F43+F60+F71+F78+F96+F107+F116+F128+F130</f>
        <v>2244599000</v>
      </c>
    </row>
    <row r="23" spans="2:6" s="18" customFormat="1" ht="15" customHeight="1">
      <c r="B23" s="23" t="s">
        <v>33</v>
      </c>
      <c r="C23" s="24" t="s">
        <v>4</v>
      </c>
      <c r="D23" s="4">
        <f>D24</f>
        <v>880070000</v>
      </c>
      <c r="E23" s="4">
        <v>914237000</v>
      </c>
      <c r="F23" s="25">
        <v>1195445000</v>
      </c>
    </row>
    <row r="24" spans="2:6" s="18" customFormat="1" ht="15" customHeight="1">
      <c r="B24" s="26" t="s">
        <v>34</v>
      </c>
      <c r="C24" s="27" t="s">
        <v>5</v>
      </c>
      <c r="D24" s="5">
        <f>D25+D27+D29+D31</f>
        <v>880070000</v>
      </c>
      <c r="E24" s="5">
        <v>914237000</v>
      </c>
      <c r="F24" s="28">
        <v>1195445000</v>
      </c>
    </row>
    <row r="25" spans="2:6" s="18" customFormat="1" ht="90">
      <c r="B25" s="29" t="s">
        <v>35</v>
      </c>
      <c r="C25" s="30" t="s">
        <v>36</v>
      </c>
      <c r="D25" s="2">
        <f>D26</f>
        <v>848570000</v>
      </c>
      <c r="E25" s="2">
        <v>874648000</v>
      </c>
      <c r="F25" s="31">
        <v>1142090000</v>
      </c>
    </row>
    <row r="26" spans="2:6" s="18" customFormat="1" ht="135">
      <c r="B26" s="29" t="s">
        <v>37</v>
      </c>
      <c r="C26" s="30" t="s">
        <v>38</v>
      </c>
      <c r="D26" s="2">
        <v>848570000</v>
      </c>
      <c r="E26" s="2">
        <v>874648000</v>
      </c>
      <c r="F26" s="31">
        <v>1142090000</v>
      </c>
    </row>
    <row r="27" spans="2:6" s="18" customFormat="1" ht="135">
      <c r="B27" s="29" t="s">
        <v>39</v>
      </c>
      <c r="C27" s="30" t="s">
        <v>40</v>
      </c>
      <c r="D27" s="2">
        <f>D28</f>
        <v>3500000</v>
      </c>
      <c r="E27" s="2">
        <v>8168000</v>
      </c>
      <c r="F27" s="31">
        <v>10417000</v>
      </c>
    </row>
    <row r="28" spans="2:6" s="18" customFormat="1" ht="180">
      <c r="B28" s="29" t="s">
        <v>41</v>
      </c>
      <c r="C28" s="30" t="s">
        <v>42</v>
      </c>
      <c r="D28" s="2">
        <v>3500000</v>
      </c>
      <c r="E28" s="2">
        <v>8168000</v>
      </c>
      <c r="F28" s="31">
        <v>10417000</v>
      </c>
    </row>
    <row r="29" spans="2:6" s="18" customFormat="1" ht="60">
      <c r="B29" s="29" t="s">
        <v>43</v>
      </c>
      <c r="C29" s="30" t="s">
        <v>44</v>
      </c>
      <c r="D29" s="2">
        <f>D30</f>
        <v>4000000</v>
      </c>
      <c r="E29" s="2">
        <v>8368000</v>
      </c>
      <c r="F29" s="31">
        <v>10561000</v>
      </c>
    </row>
    <row r="30" spans="2:6" s="18" customFormat="1" ht="90">
      <c r="B30" s="29" t="s">
        <v>45</v>
      </c>
      <c r="C30" s="30" t="s">
        <v>46</v>
      </c>
      <c r="D30" s="2">
        <v>4000000</v>
      </c>
      <c r="E30" s="2">
        <v>8368000</v>
      </c>
      <c r="F30" s="31">
        <v>10561000</v>
      </c>
    </row>
    <row r="31" spans="2:6" s="18" customFormat="1" ht="105">
      <c r="B31" s="29" t="s">
        <v>47</v>
      </c>
      <c r="C31" s="30" t="s">
        <v>48</v>
      </c>
      <c r="D31" s="2">
        <f>D32</f>
        <v>24000000</v>
      </c>
      <c r="E31" s="2">
        <f t="shared" ref="E31:F31" si="3">E32</f>
        <v>23053000</v>
      </c>
      <c r="F31" s="31">
        <f t="shared" si="3"/>
        <v>32377000</v>
      </c>
    </row>
    <row r="32" spans="2:6" s="18" customFormat="1" ht="150">
      <c r="B32" s="29" t="s">
        <v>49</v>
      </c>
      <c r="C32" s="30" t="s">
        <v>50</v>
      </c>
      <c r="D32" s="2">
        <v>24000000</v>
      </c>
      <c r="E32" s="2">
        <v>23053000</v>
      </c>
      <c r="F32" s="31">
        <v>32377000</v>
      </c>
    </row>
    <row r="33" spans="2:7" s="18" customFormat="1" ht="57">
      <c r="B33" s="23" t="s">
        <v>51</v>
      </c>
      <c r="C33" s="24" t="s">
        <v>52</v>
      </c>
      <c r="D33" s="4">
        <v>101210000</v>
      </c>
      <c r="E33" s="4">
        <v>101581000</v>
      </c>
      <c r="F33" s="25">
        <v>98138000</v>
      </c>
    </row>
    <row r="34" spans="2:7" s="18" customFormat="1" ht="42.75">
      <c r="B34" s="26" t="s">
        <v>53</v>
      </c>
      <c r="C34" s="27" t="s">
        <v>54</v>
      </c>
      <c r="D34" s="5">
        <f>101474000-264000</f>
        <v>101210000</v>
      </c>
      <c r="E34" s="5">
        <v>101581000</v>
      </c>
      <c r="F34" s="28">
        <v>98138000</v>
      </c>
    </row>
    <row r="35" spans="2:7" s="18" customFormat="1" ht="90">
      <c r="B35" s="29" t="s">
        <v>55</v>
      </c>
      <c r="C35" s="30" t="s">
        <v>56</v>
      </c>
      <c r="D35" s="2">
        <f>47407000-264000</f>
        <v>47143000</v>
      </c>
      <c r="E35" s="2">
        <v>47467000</v>
      </c>
      <c r="F35" s="31">
        <v>45903000</v>
      </c>
    </row>
    <row r="36" spans="2:7" s="18" customFormat="1" ht="150">
      <c r="B36" s="29" t="s">
        <v>57</v>
      </c>
      <c r="C36" s="30" t="s">
        <v>58</v>
      </c>
      <c r="D36" s="2">
        <f>47407000-264000</f>
        <v>47143000</v>
      </c>
      <c r="E36" s="2">
        <v>47467000</v>
      </c>
      <c r="F36" s="31">
        <v>45903000</v>
      </c>
    </row>
    <row r="37" spans="2:7" s="18" customFormat="1" ht="105">
      <c r="B37" s="29" t="s">
        <v>59</v>
      </c>
      <c r="C37" s="30" t="s">
        <v>60</v>
      </c>
      <c r="D37" s="2">
        <v>240000</v>
      </c>
      <c r="E37" s="2">
        <v>237000</v>
      </c>
      <c r="F37" s="31">
        <v>226000</v>
      </c>
    </row>
    <row r="38" spans="2:7" s="18" customFormat="1" ht="165">
      <c r="B38" s="29" t="s">
        <v>61</v>
      </c>
      <c r="C38" s="30" t="s">
        <v>62</v>
      </c>
      <c r="D38" s="2">
        <v>240000</v>
      </c>
      <c r="E38" s="2">
        <v>237000</v>
      </c>
      <c r="F38" s="31">
        <v>226000</v>
      </c>
    </row>
    <row r="39" spans="2:7" s="18" customFormat="1" ht="90">
      <c r="B39" s="29" t="s">
        <v>63</v>
      </c>
      <c r="C39" s="30" t="s">
        <v>64</v>
      </c>
      <c r="D39" s="2">
        <v>62139000</v>
      </c>
      <c r="E39" s="2">
        <v>61831000</v>
      </c>
      <c r="F39" s="31">
        <v>59438000</v>
      </c>
    </row>
    <row r="40" spans="2:7" s="18" customFormat="1" ht="150">
      <c r="B40" s="29" t="s">
        <v>65</v>
      </c>
      <c r="C40" s="30" t="s">
        <v>66</v>
      </c>
      <c r="D40" s="2">
        <v>62139000</v>
      </c>
      <c r="E40" s="2">
        <v>61831000</v>
      </c>
      <c r="F40" s="31">
        <v>59438000</v>
      </c>
    </row>
    <row r="41" spans="2:7" s="18" customFormat="1" ht="90">
      <c r="B41" s="29" t="s">
        <v>67</v>
      </c>
      <c r="C41" s="30" t="s">
        <v>68</v>
      </c>
      <c r="D41" s="2">
        <v>-8312000</v>
      </c>
      <c r="E41" s="2">
        <v>-7954000</v>
      </c>
      <c r="F41" s="31">
        <v>-7429000</v>
      </c>
    </row>
    <row r="42" spans="2:7" s="18" customFormat="1" ht="150">
      <c r="B42" s="29" t="s">
        <v>69</v>
      </c>
      <c r="C42" s="30" t="s">
        <v>70</v>
      </c>
      <c r="D42" s="2">
        <v>-8312000</v>
      </c>
      <c r="E42" s="2">
        <v>-7954000</v>
      </c>
      <c r="F42" s="31">
        <v>-7429000</v>
      </c>
    </row>
    <row r="43" spans="2:7" s="18" customFormat="1" ht="14.25">
      <c r="B43" s="23" t="s">
        <v>71</v>
      </c>
      <c r="C43" s="24" t="s">
        <v>6</v>
      </c>
      <c r="D43" s="4">
        <f>D44+D51+D54+D57</f>
        <v>142636000</v>
      </c>
      <c r="E43" s="4">
        <v>172677000</v>
      </c>
      <c r="F43" s="25">
        <v>188967000</v>
      </c>
    </row>
    <row r="44" spans="2:7" s="18" customFormat="1" ht="28.5">
      <c r="B44" s="26" t="s">
        <v>72</v>
      </c>
      <c r="C44" s="27" t="s">
        <v>7</v>
      </c>
      <c r="D44" s="5">
        <f>D45+D48</f>
        <v>99020000</v>
      </c>
      <c r="E44" s="5">
        <v>143213000</v>
      </c>
      <c r="F44" s="28">
        <v>157973000</v>
      </c>
      <c r="G44" s="34"/>
    </row>
    <row r="45" spans="2:7" s="18" customFormat="1" ht="45">
      <c r="B45" s="29" t="s">
        <v>73</v>
      </c>
      <c r="C45" s="30" t="s">
        <v>74</v>
      </c>
      <c r="D45" s="2">
        <f>D46</f>
        <v>82020000</v>
      </c>
      <c r="E45" s="2">
        <v>113649000</v>
      </c>
      <c r="F45" s="31">
        <v>125810000</v>
      </c>
    </row>
    <row r="46" spans="2:7" s="18" customFormat="1" ht="45">
      <c r="B46" s="29" t="s">
        <v>75</v>
      </c>
      <c r="C46" s="30" t="s">
        <v>74</v>
      </c>
      <c r="D46" s="2">
        <f>D47</f>
        <v>82020000</v>
      </c>
      <c r="E46" s="2">
        <v>113649000</v>
      </c>
      <c r="F46" s="31">
        <v>125810000</v>
      </c>
    </row>
    <row r="47" spans="2:7" s="18" customFormat="1" ht="75">
      <c r="B47" s="29" t="s">
        <v>76</v>
      </c>
      <c r="C47" s="30" t="s">
        <v>77</v>
      </c>
      <c r="D47" s="2">
        <f>74948000+7072000</f>
        <v>82020000</v>
      </c>
      <c r="E47" s="2">
        <v>113649000</v>
      </c>
      <c r="F47" s="31">
        <v>125810000</v>
      </c>
    </row>
    <row r="48" spans="2:7" s="18" customFormat="1" ht="45">
      <c r="B48" s="29" t="s">
        <v>78</v>
      </c>
      <c r="C48" s="30" t="s">
        <v>79</v>
      </c>
      <c r="D48" s="2">
        <f>D49</f>
        <v>17000000</v>
      </c>
      <c r="E48" s="2">
        <v>29564000</v>
      </c>
      <c r="F48" s="31">
        <v>32163000</v>
      </c>
    </row>
    <row r="49" spans="2:6" s="18" customFormat="1" ht="75">
      <c r="B49" s="29" t="s">
        <v>80</v>
      </c>
      <c r="C49" s="30" t="s">
        <v>81</v>
      </c>
      <c r="D49" s="2">
        <f>D50</f>
        <v>17000000</v>
      </c>
      <c r="E49" s="2">
        <v>29564000</v>
      </c>
      <c r="F49" s="31">
        <v>32163000</v>
      </c>
    </row>
    <row r="50" spans="2:6" s="18" customFormat="1" ht="120">
      <c r="B50" s="29" t="s">
        <v>82</v>
      </c>
      <c r="C50" s="30" t="s">
        <v>83</v>
      </c>
      <c r="D50" s="2">
        <f>12500000+4500000</f>
        <v>17000000</v>
      </c>
      <c r="E50" s="2">
        <v>29564000</v>
      </c>
      <c r="F50" s="31">
        <v>32163000</v>
      </c>
    </row>
    <row r="51" spans="2:6" s="18" customFormat="1" ht="28.5">
      <c r="B51" s="26" t="s">
        <v>84</v>
      </c>
      <c r="C51" s="27" t="s">
        <v>8</v>
      </c>
      <c r="D51" s="5">
        <f>D52</f>
        <v>24756000</v>
      </c>
      <c r="E51" s="5">
        <v>5617000</v>
      </c>
      <c r="F51" s="28">
        <v>0</v>
      </c>
    </row>
    <row r="52" spans="2:6" s="18" customFormat="1" ht="30">
      <c r="B52" s="29" t="s">
        <v>85</v>
      </c>
      <c r="C52" s="30" t="s">
        <v>8</v>
      </c>
      <c r="D52" s="2">
        <f>D53</f>
        <v>24756000</v>
      </c>
      <c r="E52" s="2">
        <v>5617000</v>
      </c>
      <c r="F52" s="31">
        <v>0</v>
      </c>
    </row>
    <row r="53" spans="2:6" s="18" customFormat="1" ht="75">
      <c r="B53" s="29" t="s">
        <v>86</v>
      </c>
      <c r="C53" s="30" t="s">
        <v>87</v>
      </c>
      <c r="D53" s="2">
        <v>24756000</v>
      </c>
      <c r="E53" s="2">
        <v>5617000</v>
      </c>
      <c r="F53" s="31">
        <v>0</v>
      </c>
    </row>
    <row r="54" spans="2:6" s="18" customFormat="1" ht="14.25">
      <c r="B54" s="26" t="s">
        <v>88</v>
      </c>
      <c r="C54" s="27" t="s">
        <v>9</v>
      </c>
      <c r="D54" s="5">
        <f>D55</f>
        <v>912000</v>
      </c>
      <c r="E54" s="5">
        <v>0</v>
      </c>
      <c r="F54" s="28">
        <v>6193000</v>
      </c>
    </row>
    <row r="55" spans="2:6" s="18" customFormat="1" ht="15">
      <c r="B55" s="29" t="s">
        <v>89</v>
      </c>
      <c r="C55" s="30" t="s">
        <v>9</v>
      </c>
      <c r="D55" s="2">
        <f>D56</f>
        <v>912000</v>
      </c>
      <c r="E55" s="2">
        <v>0</v>
      </c>
      <c r="F55" s="31">
        <v>6193000</v>
      </c>
    </row>
    <row r="56" spans="2:6" s="18" customFormat="1" ht="60">
      <c r="B56" s="29" t="s">
        <v>90</v>
      </c>
      <c r="C56" s="30" t="s">
        <v>91</v>
      </c>
      <c r="D56" s="2">
        <f>759000+153000</f>
        <v>912000</v>
      </c>
      <c r="E56" s="2">
        <v>0</v>
      </c>
      <c r="F56" s="31">
        <v>6193000</v>
      </c>
    </row>
    <row r="57" spans="2:6" s="18" customFormat="1" ht="28.5">
      <c r="B57" s="26" t="s">
        <v>92</v>
      </c>
      <c r="C57" s="27" t="s">
        <v>93</v>
      </c>
      <c r="D57" s="5">
        <f>D58</f>
        <v>17948000</v>
      </c>
      <c r="E57" s="5">
        <v>23847000</v>
      </c>
      <c r="F57" s="28">
        <v>24801000</v>
      </c>
    </row>
    <row r="58" spans="2:6" s="18" customFormat="1" ht="45">
      <c r="B58" s="29" t="s">
        <v>94</v>
      </c>
      <c r="C58" s="30" t="s">
        <v>95</v>
      </c>
      <c r="D58" s="2">
        <f>D59</f>
        <v>17948000</v>
      </c>
      <c r="E58" s="2">
        <v>23847000</v>
      </c>
      <c r="F58" s="31">
        <v>24801000</v>
      </c>
    </row>
    <row r="59" spans="2:6" s="18" customFormat="1" ht="90">
      <c r="B59" s="29" t="s">
        <v>96</v>
      </c>
      <c r="C59" s="30" t="s">
        <v>97</v>
      </c>
      <c r="D59" s="2">
        <f>17948000</f>
        <v>17948000</v>
      </c>
      <c r="E59" s="2">
        <v>23847000</v>
      </c>
      <c r="F59" s="31">
        <v>24801000</v>
      </c>
    </row>
    <row r="60" spans="2:6" s="18" customFormat="1" ht="14.25">
      <c r="B60" s="23" t="s">
        <v>98</v>
      </c>
      <c r="C60" s="24" t="s">
        <v>10</v>
      </c>
      <c r="D60" s="4">
        <f>D61+D64</f>
        <v>355000000</v>
      </c>
      <c r="E60" s="4">
        <v>472609000</v>
      </c>
      <c r="F60" s="25">
        <v>489241000</v>
      </c>
    </row>
    <row r="61" spans="2:6" s="18" customFormat="1" ht="14.25">
      <c r="B61" s="26" t="s">
        <v>99</v>
      </c>
      <c r="C61" s="27" t="s">
        <v>100</v>
      </c>
      <c r="D61" s="5">
        <f>D62</f>
        <v>54000000</v>
      </c>
      <c r="E61" s="5">
        <v>65672000</v>
      </c>
      <c r="F61" s="28">
        <v>73470000</v>
      </c>
    </row>
    <row r="62" spans="2:6" s="18" customFormat="1" ht="60">
      <c r="B62" s="29" t="s">
        <v>101</v>
      </c>
      <c r="C62" s="30" t="s">
        <v>11</v>
      </c>
      <c r="D62" s="2">
        <f>D63</f>
        <v>54000000</v>
      </c>
      <c r="E62" s="2">
        <v>65672000</v>
      </c>
      <c r="F62" s="31">
        <v>73470000</v>
      </c>
    </row>
    <row r="63" spans="2:6" s="18" customFormat="1" ht="90">
      <c r="B63" s="29" t="s">
        <v>102</v>
      </c>
      <c r="C63" s="30" t="s">
        <v>103</v>
      </c>
      <c r="D63" s="2">
        <f>56902000-2902000</f>
        <v>54000000</v>
      </c>
      <c r="E63" s="2">
        <v>65672000</v>
      </c>
      <c r="F63" s="31">
        <v>73470000</v>
      </c>
    </row>
    <row r="64" spans="2:6" s="18" customFormat="1" ht="14.25">
      <c r="B64" s="26" t="s">
        <v>104</v>
      </c>
      <c r="C64" s="27" t="s">
        <v>12</v>
      </c>
      <c r="D64" s="5">
        <f>D65+D68</f>
        <v>301000000</v>
      </c>
      <c r="E64" s="5">
        <v>406937000</v>
      </c>
      <c r="F64" s="28">
        <v>415771000</v>
      </c>
    </row>
    <row r="65" spans="2:7" s="18" customFormat="1" ht="15">
      <c r="B65" s="29" t="s">
        <v>105</v>
      </c>
      <c r="C65" s="30" t="s">
        <v>106</v>
      </c>
      <c r="D65" s="2">
        <f>D66</f>
        <v>188000000</v>
      </c>
      <c r="E65" s="2">
        <v>220441000</v>
      </c>
      <c r="F65" s="31">
        <v>220882000</v>
      </c>
      <c r="G65" s="34"/>
    </row>
    <row r="66" spans="2:7" s="18" customFormat="1" ht="45">
      <c r="B66" s="29" t="s">
        <v>107</v>
      </c>
      <c r="C66" s="30" t="s">
        <v>108</v>
      </c>
      <c r="D66" s="2">
        <f>D67</f>
        <v>188000000</v>
      </c>
      <c r="E66" s="2">
        <v>220441000</v>
      </c>
      <c r="F66" s="31">
        <v>220882000</v>
      </c>
    </row>
    <row r="67" spans="2:7" s="18" customFormat="1" ht="75">
      <c r="B67" s="29" t="s">
        <v>109</v>
      </c>
      <c r="C67" s="30" t="s">
        <v>110</v>
      </c>
      <c r="D67" s="2">
        <f>218159000-30159000</f>
        <v>188000000</v>
      </c>
      <c r="E67" s="2">
        <v>220441000</v>
      </c>
      <c r="F67" s="31">
        <v>220882000</v>
      </c>
    </row>
    <row r="68" spans="2:7" s="18" customFormat="1" ht="15">
      <c r="B68" s="29" t="s">
        <v>111</v>
      </c>
      <c r="C68" s="30" t="s">
        <v>112</v>
      </c>
      <c r="D68" s="2">
        <f>D69</f>
        <v>113000000</v>
      </c>
      <c r="E68" s="2">
        <v>186496000</v>
      </c>
      <c r="F68" s="31">
        <v>194889000</v>
      </c>
      <c r="G68" s="34"/>
    </row>
    <row r="69" spans="2:7" s="18" customFormat="1" ht="45">
      <c r="B69" s="29" t="s">
        <v>113</v>
      </c>
      <c r="C69" s="30" t="s">
        <v>114</v>
      </c>
      <c r="D69" s="2">
        <f>D70</f>
        <v>113000000</v>
      </c>
      <c r="E69" s="2">
        <v>186496000</v>
      </c>
      <c r="F69" s="31">
        <v>194889000</v>
      </c>
    </row>
    <row r="70" spans="2:7" s="18" customFormat="1" ht="75">
      <c r="B70" s="29" t="s">
        <v>115</v>
      </c>
      <c r="C70" s="30" t="s">
        <v>116</v>
      </c>
      <c r="D70" s="2">
        <f>175453000-62453000</f>
        <v>113000000</v>
      </c>
      <c r="E70" s="2">
        <v>186496000</v>
      </c>
      <c r="F70" s="31">
        <v>194889000</v>
      </c>
    </row>
    <row r="71" spans="2:7" s="18" customFormat="1" ht="14.25">
      <c r="B71" s="23" t="s">
        <v>117</v>
      </c>
      <c r="C71" s="24" t="s">
        <v>13</v>
      </c>
      <c r="D71" s="4">
        <f>D72+D75</f>
        <v>10797000</v>
      </c>
      <c r="E71" s="4">
        <v>10982000</v>
      </c>
      <c r="F71" s="25">
        <v>11419000</v>
      </c>
    </row>
    <row r="72" spans="2:7" s="18" customFormat="1" ht="42.75">
      <c r="B72" s="26" t="s">
        <v>118</v>
      </c>
      <c r="C72" s="27" t="s">
        <v>119</v>
      </c>
      <c r="D72" s="5">
        <f>D73</f>
        <v>10732000</v>
      </c>
      <c r="E72" s="5">
        <v>10932000</v>
      </c>
      <c r="F72" s="28">
        <v>11369000</v>
      </c>
    </row>
    <row r="73" spans="2:7" s="18" customFormat="1" ht="60">
      <c r="B73" s="29" t="s">
        <v>120</v>
      </c>
      <c r="C73" s="30" t="s">
        <v>121</v>
      </c>
      <c r="D73" s="2">
        <f>D74</f>
        <v>10732000</v>
      </c>
      <c r="E73" s="2">
        <v>10932000</v>
      </c>
      <c r="F73" s="31">
        <v>11369000</v>
      </c>
    </row>
    <row r="74" spans="2:7" s="18" customFormat="1" ht="105">
      <c r="B74" s="29" t="s">
        <v>122</v>
      </c>
      <c r="C74" s="30" t="s">
        <v>123</v>
      </c>
      <c r="D74" s="2">
        <f>10732000</f>
        <v>10732000</v>
      </c>
      <c r="E74" s="2">
        <v>10932000</v>
      </c>
      <c r="F74" s="31">
        <v>11369000</v>
      </c>
      <c r="G74" s="34"/>
    </row>
    <row r="75" spans="2:7" s="18" customFormat="1" ht="57">
      <c r="B75" s="26" t="s">
        <v>124</v>
      </c>
      <c r="C75" s="27" t="s">
        <v>125</v>
      </c>
      <c r="D75" s="5">
        <f>D76</f>
        <v>65000</v>
      </c>
      <c r="E75" s="5">
        <v>50000</v>
      </c>
      <c r="F75" s="28">
        <v>50000</v>
      </c>
    </row>
    <row r="76" spans="2:7" s="18" customFormat="1" ht="30">
      <c r="B76" s="29" t="s">
        <v>126</v>
      </c>
      <c r="C76" s="30" t="s">
        <v>14</v>
      </c>
      <c r="D76" s="2">
        <f>D77</f>
        <v>65000</v>
      </c>
      <c r="E76" s="2">
        <v>50000</v>
      </c>
      <c r="F76" s="31">
        <v>50000</v>
      </c>
    </row>
    <row r="77" spans="2:7" s="18" customFormat="1" ht="30">
      <c r="B77" s="29" t="s">
        <v>127</v>
      </c>
      <c r="C77" s="30" t="s">
        <v>14</v>
      </c>
      <c r="D77" s="2">
        <f>20000+45000</f>
        <v>65000</v>
      </c>
      <c r="E77" s="2">
        <v>50000</v>
      </c>
      <c r="F77" s="31">
        <v>50000</v>
      </c>
    </row>
    <row r="78" spans="2:7" s="18" customFormat="1" ht="57">
      <c r="B78" s="23" t="s">
        <v>128</v>
      </c>
      <c r="C78" s="24" t="s">
        <v>15</v>
      </c>
      <c r="D78" s="4">
        <f>D79+D88+D91</f>
        <v>123868000</v>
      </c>
      <c r="E78" s="4">
        <v>187352000</v>
      </c>
      <c r="F78" s="25">
        <v>188042000</v>
      </c>
    </row>
    <row r="79" spans="2:7" s="18" customFormat="1" ht="128.25">
      <c r="B79" s="26" t="s">
        <v>129</v>
      </c>
      <c r="C79" s="27" t="s">
        <v>130</v>
      </c>
      <c r="D79" s="5">
        <f>D80+D82+D84+D86</f>
        <v>115791000</v>
      </c>
      <c r="E79" s="5">
        <v>169831000</v>
      </c>
      <c r="F79" s="28">
        <v>170458000</v>
      </c>
    </row>
    <row r="80" spans="2:7" s="18" customFormat="1" ht="75">
      <c r="B80" s="29" t="s">
        <v>131</v>
      </c>
      <c r="C80" s="30" t="s">
        <v>132</v>
      </c>
      <c r="D80" s="2">
        <f>D81</f>
        <v>100000000</v>
      </c>
      <c r="E80" s="2">
        <v>146499000</v>
      </c>
      <c r="F80" s="31">
        <v>146499000</v>
      </c>
    </row>
    <row r="81" spans="2:6" s="18" customFormat="1" ht="105">
      <c r="B81" s="29" t="s">
        <v>133</v>
      </c>
      <c r="C81" s="30" t="s">
        <v>134</v>
      </c>
      <c r="D81" s="2">
        <f>104752000-4752000</f>
        <v>100000000</v>
      </c>
      <c r="E81" s="2">
        <v>146499000</v>
      </c>
      <c r="F81" s="31">
        <v>146499000</v>
      </c>
    </row>
    <row r="82" spans="2:6" s="18" customFormat="1" ht="105">
      <c r="B82" s="29" t="s">
        <v>135</v>
      </c>
      <c r="C82" s="30" t="s">
        <v>136</v>
      </c>
      <c r="D82" s="2">
        <f>D83</f>
        <v>3604000</v>
      </c>
      <c r="E82" s="2">
        <v>6656000</v>
      </c>
      <c r="F82" s="31">
        <v>6656000</v>
      </c>
    </row>
    <row r="83" spans="2:6" s="18" customFormat="1" ht="90">
      <c r="B83" s="29" t="s">
        <v>137</v>
      </c>
      <c r="C83" s="30" t="s">
        <v>138</v>
      </c>
      <c r="D83" s="2">
        <v>3604000</v>
      </c>
      <c r="E83" s="2">
        <v>6656000</v>
      </c>
      <c r="F83" s="31">
        <v>6656000</v>
      </c>
    </row>
    <row r="84" spans="2:6" s="18" customFormat="1" ht="105">
      <c r="B84" s="29" t="s">
        <v>139</v>
      </c>
      <c r="C84" s="30" t="s">
        <v>140</v>
      </c>
      <c r="D84" s="2">
        <f>D85</f>
        <v>527000</v>
      </c>
      <c r="E84" s="2">
        <v>548000</v>
      </c>
      <c r="F84" s="31">
        <v>570000</v>
      </c>
    </row>
    <row r="85" spans="2:6" s="18" customFormat="1" ht="90">
      <c r="B85" s="29" t="s">
        <v>141</v>
      </c>
      <c r="C85" s="30" t="s">
        <v>142</v>
      </c>
      <c r="D85" s="2">
        <v>527000</v>
      </c>
      <c r="E85" s="2">
        <v>548000</v>
      </c>
      <c r="F85" s="31">
        <v>570000</v>
      </c>
    </row>
    <row r="86" spans="2:6" s="18" customFormat="1" ht="60">
      <c r="B86" s="29" t="s">
        <v>143</v>
      </c>
      <c r="C86" s="30" t="s">
        <v>144</v>
      </c>
      <c r="D86" s="2">
        <f>D87</f>
        <v>11660000</v>
      </c>
      <c r="E86" s="2">
        <v>16128000</v>
      </c>
      <c r="F86" s="31">
        <v>16733000</v>
      </c>
    </row>
    <row r="87" spans="2:6" s="18" customFormat="1" ht="45">
      <c r="B87" s="29" t="s">
        <v>145</v>
      </c>
      <c r="C87" s="30" t="s">
        <v>16</v>
      </c>
      <c r="D87" s="2">
        <f>11660000</f>
        <v>11660000</v>
      </c>
      <c r="E87" s="2">
        <v>16128000</v>
      </c>
      <c r="F87" s="31">
        <v>16733000</v>
      </c>
    </row>
    <row r="88" spans="2:6" s="18" customFormat="1" ht="57">
      <c r="B88" s="26" t="s">
        <v>146</v>
      </c>
      <c r="C88" s="27" t="s">
        <v>147</v>
      </c>
      <c r="D88" s="5">
        <f>D89</f>
        <v>50000</v>
      </c>
      <c r="E88" s="5">
        <v>50000</v>
      </c>
      <c r="F88" s="28">
        <v>50000</v>
      </c>
    </row>
    <row r="89" spans="2:6" s="18" customFormat="1" ht="60">
      <c r="B89" s="29" t="s">
        <v>148</v>
      </c>
      <c r="C89" s="30" t="s">
        <v>149</v>
      </c>
      <c r="D89" s="2">
        <f>D90</f>
        <v>50000</v>
      </c>
      <c r="E89" s="2">
        <v>50000</v>
      </c>
      <c r="F89" s="31">
        <v>50000</v>
      </c>
    </row>
    <row r="90" spans="2:6" s="18" customFormat="1" ht="150">
      <c r="B90" s="29" t="s">
        <v>150</v>
      </c>
      <c r="C90" s="30" t="s">
        <v>151</v>
      </c>
      <c r="D90" s="2">
        <v>50000</v>
      </c>
      <c r="E90" s="2">
        <v>50000</v>
      </c>
      <c r="F90" s="31">
        <v>50000</v>
      </c>
    </row>
    <row r="91" spans="2:6" s="18" customFormat="1" ht="114">
      <c r="B91" s="26" t="s">
        <v>152</v>
      </c>
      <c r="C91" s="27" t="s">
        <v>153</v>
      </c>
      <c r="D91" s="5">
        <f>D92</f>
        <v>8027000</v>
      </c>
      <c r="E91" s="5">
        <v>17471000</v>
      </c>
      <c r="F91" s="28">
        <v>17534000</v>
      </c>
    </row>
    <row r="92" spans="2:6" s="18" customFormat="1" ht="90">
      <c r="B92" s="29" t="s">
        <v>154</v>
      </c>
      <c r="C92" s="30" t="s">
        <v>155</v>
      </c>
      <c r="D92" s="2">
        <f>D93</f>
        <v>8027000</v>
      </c>
      <c r="E92" s="2">
        <v>17471000</v>
      </c>
      <c r="F92" s="31">
        <v>17534000</v>
      </c>
    </row>
    <row r="93" spans="2:6" s="18" customFormat="1" ht="90">
      <c r="B93" s="29" t="s">
        <v>156</v>
      </c>
      <c r="C93" s="30" t="s">
        <v>157</v>
      </c>
      <c r="D93" s="2">
        <f>D94+D95</f>
        <v>8027000</v>
      </c>
      <c r="E93" s="2">
        <v>17471000</v>
      </c>
      <c r="F93" s="31">
        <v>17534000</v>
      </c>
    </row>
    <row r="94" spans="2:6" s="18" customFormat="1" ht="30">
      <c r="B94" s="29" t="s">
        <v>158</v>
      </c>
      <c r="C94" s="30" t="s">
        <v>159</v>
      </c>
      <c r="D94" s="2">
        <f>2485000-2359000</f>
        <v>126000</v>
      </c>
      <c r="E94" s="2">
        <v>2800000</v>
      </c>
      <c r="F94" s="31">
        <v>2863000</v>
      </c>
    </row>
    <row r="95" spans="2:6" s="18" customFormat="1" ht="15">
      <c r="B95" s="29" t="s">
        <v>160</v>
      </c>
      <c r="C95" s="30" t="s">
        <v>161</v>
      </c>
      <c r="D95" s="2">
        <f>10748000-2847000</f>
        <v>7901000</v>
      </c>
      <c r="E95" s="2">
        <v>14671000</v>
      </c>
      <c r="F95" s="31">
        <v>14671000</v>
      </c>
    </row>
    <row r="96" spans="2:6" s="18" customFormat="1" ht="28.5">
      <c r="B96" s="23" t="s">
        <v>162</v>
      </c>
      <c r="C96" s="24" t="s">
        <v>17</v>
      </c>
      <c r="D96" s="4">
        <f>D97</f>
        <v>1635000</v>
      </c>
      <c r="E96" s="4">
        <v>19647000</v>
      </c>
      <c r="F96" s="25">
        <v>19779000</v>
      </c>
    </row>
    <row r="97" spans="2:6" s="18" customFormat="1" ht="28.5">
      <c r="B97" s="26" t="s">
        <v>163</v>
      </c>
      <c r="C97" s="27" t="s">
        <v>18</v>
      </c>
      <c r="D97" s="5">
        <f>D98+D100+D102</f>
        <v>1635000</v>
      </c>
      <c r="E97" s="5">
        <v>19647000</v>
      </c>
      <c r="F97" s="28">
        <v>19779000</v>
      </c>
    </row>
    <row r="98" spans="2:6" s="18" customFormat="1" ht="30">
      <c r="B98" s="29" t="s">
        <v>164</v>
      </c>
      <c r="C98" s="30" t="s">
        <v>165</v>
      </c>
      <c r="D98" s="2">
        <f>D99</f>
        <v>489000</v>
      </c>
      <c r="E98" s="2">
        <v>508000</v>
      </c>
      <c r="F98" s="31">
        <v>529000</v>
      </c>
    </row>
    <row r="99" spans="2:6" s="18" customFormat="1" ht="75">
      <c r="B99" s="29" t="s">
        <v>166</v>
      </c>
      <c r="C99" s="30" t="s">
        <v>167</v>
      </c>
      <c r="D99" s="2">
        <v>489000</v>
      </c>
      <c r="E99" s="2">
        <v>508000</v>
      </c>
      <c r="F99" s="31">
        <v>529000</v>
      </c>
    </row>
    <row r="100" spans="2:6" s="18" customFormat="1" ht="30">
      <c r="B100" s="29" t="s">
        <v>168</v>
      </c>
      <c r="C100" s="30" t="s">
        <v>169</v>
      </c>
      <c r="D100" s="2">
        <f>D101</f>
        <v>546000</v>
      </c>
      <c r="E100" s="2">
        <v>568000</v>
      </c>
      <c r="F100" s="31">
        <v>591000</v>
      </c>
    </row>
    <row r="101" spans="2:6" s="18" customFormat="1" ht="75">
      <c r="B101" s="29" t="s">
        <v>170</v>
      </c>
      <c r="C101" s="30" t="s">
        <v>171</v>
      </c>
      <c r="D101" s="2">
        <v>546000</v>
      </c>
      <c r="E101" s="2">
        <v>568000</v>
      </c>
      <c r="F101" s="31">
        <v>591000</v>
      </c>
    </row>
    <row r="102" spans="2:6" s="18" customFormat="1" ht="30">
      <c r="B102" s="29" t="s">
        <v>172</v>
      </c>
      <c r="C102" s="30" t="s">
        <v>173</v>
      </c>
      <c r="D102" s="2">
        <f>D103+D105</f>
        <v>600000</v>
      </c>
      <c r="E102" s="2">
        <v>18571000</v>
      </c>
      <c r="F102" s="31">
        <v>18659000</v>
      </c>
    </row>
    <row r="103" spans="2:6" s="18" customFormat="1" ht="15">
      <c r="B103" s="29" t="s">
        <v>174</v>
      </c>
      <c r="C103" s="30" t="s">
        <v>175</v>
      </c>
      <c r="D103" s="2">
        <f>D104</f>
        <v>600000</v>
      </c>
      <c r="E103" s="2">
        <v>18477000</v>
      </c>
      <c r="F103" s="31">
        <v>18561000</v>
      </c>
    </row>
    <row r="104" spans="2:6" s="18" customFormat="1" ht="60">
      <c r="B104" s="29" t="s">
        <v>176</v>
      </c>
      <c r="C104" s="30" t="s">
        <v>177</v>
      </c>
      <c r="D104" s="2">
        <v>600000</v>
      </c>
      <c r="E104" s="2">
        <v>18477000</v>
      </c>
      <c r="F104" s="31">
        <v>18561000</v>
      </c>
    </row>
    <row r="105" spans="2:6" s="18" customFormat="1" ht="30">
      <c r="B105" s="29" t="s">
        <v>178</v>
      </c>
      <c r="C105" s="30" t="s">
        <v>179</v>
      </c>
      <c r="D105" s="2">
        <f>D106</f>
        <v>0</v>
      </c>
      <c r="E105" s="2">
        <v>94000</v>
      </c>
      <c r="F105" s="31">
        <v>98000</v>
      </c>
    </row>
    <row r="106" spans="2:6" s="18" customFormat="1" ht="75">
      <c r="B106" s="29" t="s">
        <v>180</v>
      </c>
      <c r="C106" s="30" t="s">
        <v>181</v>
      </c>
      <c r="D106" s="2">
        <v>0</v>
      </c>
      <c r="E106" s="2">
        <v>94000</v>
      </c>
      <c r="F106" s="31">
        <v>98000</v>
      </c>
    </row>
    <row r="107" spans="2:6" s="18" customFormat="1" ht="42.75">
      <c r="B107" s="23" t="s">
        <v>182</v>
      </c>
      <c r="C107" s="24" t="s">
        <v>183</v>
      </c>
      <c r="D107" s="4">
        <f>D108+D111</f>
        <v>10775000</v>
      </c>
      <c r="E107" s="4">
        <v>2150000</v>
      </c>
      <c r="F107" s="25">
        <v>2152000</v>
      </c>
    </row>
    <row r="108" spans="2:6" s="18" customFormat="1" ht="14.25">
      <c r="B108" s="26" t="s">
        <v>184</v>
      </c>
      <c r="C108" s="27" t="s">
        <v>185</v>
      </c>
      <c r="D108" s="5">
        <f>D109</f>
        <v>1300000</v>
      </c>
      <c r="E108" s="5">
        <v>2100000</v>
      </c>
      <c r="F108" s="28">
        <v>2100000</v>
      </c>
    </row>
    <row r="109" spans="2:6" s="18" customFormat="1" ht="15">
      <c r="B109" s="29" t="s">
        <v>186</v>
      </c>
      <c r="C109" s="30" t="s">
        <v>187</v>
      </c>
      <c r="D109" s="2">
        <f>D110</f>
        <v>1300000</v>
      </c>
      <c r="E109" s="2">
        <v>2100000</v>
      </c>
      <c r="F109" s="31">
        <v>2100000</v>
      </c>
    </row>
    <row r="110" spans="2:6" s="18" customFormat="1" ht="45">
      <c r="B110" s="29" t="s">
        <v>188</v>
      </c>
      <c r="C110" s="30" t="s">
        <v>19</v>
      </c>
      <c r="D110" s="2">
        <f>1125000+175000</f>
        <v>1300000</v>
      </c>
      <c r="E110" s="2">
        <v>2100000</v>
      </c>
      <c r="F110" s="31">
        <v>2100000</v>
      </c>
    </row>
    <row r="111" spans="2:6" s="18" customFormat="1" ht="14.25">
      <c r="B111" s="26" t="s">
        <v>189</v>
      </c>
      <c r="C111" s="27" t="s">
        <v>190</v>
      </c>
      <c r="D111" s="5">
        <f>D112+D114</f>
        <v>9475000</v>
      </c>
      <c r="E111" s="5">
        <f t="shared" ref="E111:F111" si="4">E112+E114</f>
        <v>50000</v>
      </c>
      <c r="F111" s="5">
        <f t="shared" si="4"/>
        <v>52000</v>
      </c>
    </row>
    <row r="112" spans="2:6" s="18" customFormat="1" ht="45">
      <c r="B112" s="29" t="s">
        <v>191</v>
      </c>
      <c r="C112" s="30" t="s">
        <v>192</v>
      </c>
      <c r="D112" s="2">
        <f>D113</f>
        <v>19000</v>
      </c>
      <c r="E112" s="2">
        <v>50000</v>
      </c>
      <c r="F112" s="31">
        <v>52000</v>
      </c>
    </row>
    <row r="113" spans="2:6" s="18" customFormat="1" ht="45">
      <c r="B113" s="29" t="s">
        <v>193</v>
      </c>
      <c r="C113" s="30" t="s">
        <v>20</v>
      </c>
      <c r="D113" s="2">
        <f>48000-29000</f>
        <v>19000</v>
      </c>
      <c r="E113" s="2">
        <v>50000</v>
      </c>
      <c r="F113" s="31">
        <v>52000</v>
      </c>
    </row>
    <row r="114" spans="2:6" s="18" customFormat="1" ht="15">
      <c r="B114" s="29" t="s">
        <v>307</v>
      </c>
      <c r="C114" s="30" t="s">
        <v>308</v>
      </c>
      <c r="D114" s="2">
        <f>D115</f>
        <v>9456000</v>
      </c>
      <c r="E114" s="2">
        <f t="shared" ref="E114:F114" si="5">E115</f>
        <v>0</v>
      </c>
      <c r="F114" s="2">
        <f t="shared" si="5"/>
        <v>0</v>
      </c>
    </row>
    <row r="115" spans="2:6" s="18" customFormat="1" ht="30">
      <c r="B115" s="29" t="s">
        <v>309</v>
      </c>
      <c r="C115" s="30" t="s">
        <v>310</v>
      </c>
      <c r="D115" s="2">
        <f>5751000+3705000</f>
        <v>9456000</v>
      </c>
      <c r="E115" s="2">
        <v>0</v>
      </c>
      <c r="F115" s="31">
        <v>0</v>
      </c>
    </row>
    <row r="116" spans="2:6" s="18" customFormat="1" ht="28.5">
      <c r="B116" s="23" t="s">
        <v>194</v>
      </c>
      <c r="C116" s="24" t="s">
        <v>21</v>
      </c>
      <c r="D116" s="4">
        <f>D117+D120+D125</f>
        <v>21732000</v>
      </c>
      <c r="E116" s="4">
        <v>41372000</v>
      </c>
      <c r="F116" s="25">
        <v>49016000</v>
      </c>
    </row>
    <row r="117" spans="2:6" s="18" customFormat="1" ht="114">
      <c r="B117" s="26" t="s">
        <v>195</v>
      </c>
      <c r="C117" s="27" t="s">
        <v>196</v>
      </c>
      <c r="D117" s="5">
        <f>D118</f>
        <v>7400000</v>
      </c>
      <c r="E117" s="5">
        <v>2048000</v>
      </c>
      <c r="F117" s="28">
        <v>1692000</v>
      </c>
    </row>
    <row r="118" spans="2:6" s="18" customFormat="1" ht="120">
      <c r="B118" s="29" t="s">
        <v>197</v>
      </c>
      <c r="C118" s="30" t="s">
        <v>198</v>
      </c>
      <c r="D118" s="2">
        <f>D119</f>
        <v>7400000</v>
      </c>
      <c r="E118" s="2">
        <v>2048000</v>
      </c>
      <c r="F118" s="31">
        <v>1692000</v>
      </c>
    </row>
    <row r="119" spans="2:6" s="18" customFormat="1" ht="120">
      <c r="B119" s="29" t="s">
        <v>199</v>
      </c>
      <c r="C119" s="30" t="s">
        <v>22</v>
      </c>
      <c r="D119" s="2">
        <f>8809000-1409000</f>
        <v>7400000</v>
      </c>
      <c r="E119" s="2">
        <v>2048000</v>
      </c>
      <c r="F119" s="31">
        <v>1692000</v>
      </c>
    </row>
    <row r="120" spans="2:6" s="18" customFormat="1" ht="42.75">
      <c r="B120" s="26" t="s">
        <v>200</v>
      </c>
      <c r="C120" s="27" t="s">
        <v>201</v>
      </c>
      <c r="D120" s="5">
        <f>D121+D123</f>
        <v>9232000</v>
      </c>
      <c r="E120" s="5">
        <v>34224000</v>
      </c>
      <c r="F120" s="28">
        <v>42224000</v>
      </c>
    </row>
    <row r="121" spans="2:6" s="18" customFormat="1" ht="45">
      <c r="B121" s="29" t="s">
        <v>202</v>
      </c>
      <c r="C121" s="30" t="s">
        <v>203</v>
      </c>
      <c r="D121" s="2">
        <f>D122</f>
        <v>9000000</v>
      </c>
      <c r="E121" s="2">
        <v>30000000</v>
      </c>
      <c r="F121" s="31">
        <v>38000000</v>
      </c>
    </row>
    <row r="122" spans="2:6" s="18" customFormat="1" ht="60">
      <c r="B122" s="29" t="s">
        <v>204</v>
      </c>
      <c r="C122" s="30" t="s">
        <v>205</v>
      </c>
      <c r="D122" s="2">
        <f>18000000-9000000</f>
        <v>9000000</v>
      </c>
      <c r="E122" s="2">
        <v>30000000</v>
      </c>
      <c r="F122" s="31">
        <v>38000000</v>
      </c>
    </row>
    <row r="123" spans="2:6" s="18" customFormat="1" ht="60">
      <c r="B123" s="29" t="s">
        <v>206</v>
      </c>
      <c r="C123" s="30" t="s">
        <v>207</v>
      </c>
      <c r="D123" s="2">
        <f>D124</f>
        <v>232000</v>
      </c>
      <c r="E123" s="2">
        <v>4224000</v>
      </c>
      <c r="F123" s="31">
        <v>4224000</v>
      </c>
    </row>
    <row r="124" spans="2:6" s="18" customFormat="1" ht="75">
      <c r="B124" s="29" t="s">
        <v>208</v>
      </c>
      <c r="C124" s="30" t="s">
        <v>209</v>
      </c>
      <c r="D124" s="2">
        <f>0+232000</f>
        <v>232000</v>
      </c>
      <c r="E124" s="2">
        <v>4224000</v>
      </c>
      <c r="F124" s="31">
        <v>4224000</v>
      </c>
    </row>
    <row r="125" spans="2:6" s="18" customFormat="1" ht="99.75">
      <c r="B125" s="26" t="s">
        <v>210</v>
      </c>
      <c r="C125" s="27" t="s">
        <v>211</v>
      </c>
      <c r="D125" s="5">
        <f>D126</f>
        <v>5100000</v>
      </c>
      <c r="E125" s="5">
        <v>5100000</v>
      </c>
      <c r="F125" s="28">
        <v>5100000</v>
      </c>
    </row>
    <row r="126" spans="2:6" s="18" customFormat="1" ht="90">
      <c r="B126" s="29" t="s">
        <v>212</v>
      </c>
      <c r="C126" s="30" t="s">
        <v>213</v>
      </c>
      <c r="D126" s="2">
        <f>D127</f>
        <v>5100000</v>
      </c>
      <c r="E126" s="2">
        <v>5100000</v>
      </c>
      <c r="F126" s="31">
        <v>5100000</v>
      </c>
    </row>
    <row r="127" spans="2:6" s="18" customFormat="1" ht="105">
      <c r="B127" s="29" t="s">
        <v>214</v>
      </c>
      <c r="C127" s="30" t="s">
        <v>215</v>
      </c>
      <c r="D127" s="2">
        <v>5100000</v>
      </c>
      <c r="E127" s="2">
        <v>5100000</v>
      </c>
      <c r="F127" s="31">
        <v>5100000</v>
      </c>
    </row>
    <row r="128" spans="2:6" s="18" customFormat="1" ht="28.5">
      <c r="B128" s="23" t="s">
        <v>327</v>
      </c>
      <c r="C128" s="24" t="s">
        <v>328</v>
      </c>
      <c r="D128" s="4">
        <f>D129</f>
        <v>45000000</v>
      </c>
      <c r="E128" s="4">
        <f t="shared" ref="E128:F128" si="6">E129</f>
        <v>0</v>
      </c>
      <c r="F128" s="4">
        <f t="shared" si="6"/>
        <v>0</v>
      </c>
    </row>
    <row r="129" spans="1:6" s="18" customFormat="1" ht="90">
      <c r="B129" s="29" t="s">
        <v>329</v>
      </c>
      <c r="C129" s="30" t="s">
        <v>330</v>
      </c>
      <c r="D129" s="2">
        <f>60000000-15000000</f>
        <v>45000000</v>
      </c>
      <c r="E129" s="2">
        <v>0</v>
      </c>
      <c r="F129" s="2">
        <v>0</v>
      </c>
    </row>
    <row r="130" spans="1:6" s="18" customFormat="1" ht="14.25">
      <c r="B130" s="23" t="s">
        <v>216</v>
      </c>
      <c r="C130" s="24" t="s">
        <v>23</v>
      </c>
      <c r="D130" s="4">
        <f>D131</f>
        <v>4795000</v>
      </c>
      <c r="E130" s="4">
        <f t="shared" ref="E130:F131" si="7">E131</f>
        <v>2400000</v>
      </c>
      <c r="F130" s="4">
        <f t="shared" si="7"/>
        <v>2400000</v>
      </c>
    </row>
    <row r="131" spans="1:6" s="18" customFormat="1" ht="14.25">
      <c r="B131" s="26" t="s">
        <v>217</v>
      </c>
      <c r="C131" s="27" t="s">
        <v>218</v>
      </c>
      <c r="D131" s="5">
        <f>D132</f>
        <v>4795000</v>
      </c>
      <c r="E131" s="5">
        <f t="shared" si="7"/>
        <v>2400000</v>
      </c>
      <c r="F131" s="5">
        <f t="shared" si="7"/>
        <v>2400000</v>
      </c>
    </row>
    <row r="132" spans="1:6" s="18" customFormat="1" ht="30">
      <c r="B132" s="29" t="s">
        <v>219</v>
      </c>
      <c r="C132" s="30" t="s">
        <v>220</v>
      </c>
      <c r="D132" s="2">
        <f>D133+D134+103000-26000</f>
        <v>4795000</v>
      </c>
      <c r="E132" s="2">
        <f t="shared" ref="E132:F132" si="8">E133+E134</f>
        <v>2400000</v>
      </c>
      <c r="F132" s="2">
        <f t="shared" si="8"/>
        <v>2400000</v>
      </c>
    </row>
    <row r="133" spans="1:6" s="18" customFormat="1" ht="45">
      <c r="B133" s="29" t="s">
        <v>221</v>
      </c>
      <c r="C133" s="30" t="s">
        <v>222</v>
      </c>
      <c r="D133" s="2">
        <f>2100000+250000</f>
        <v>2350000</v>
      </c>
      <c r="E133" s="2">
        <v>2100000</v>
      </c>
      <c r="F133" s="31">
        <v>2100000</v>
      </c>
    </row>
    <row r="134" spans="1:6" s="18" customFormat="1" ht="30">
      <c r="B134" s="29" t="s">
        <v>223</v>
      </c>
      <c r="C134" s="30" t="s">
        <v>224</v>
      </c>
      <c r="D134" s="2">
        <f>800000+1568000</f>
        <v>2368000</v>
      </c>
      <c r="E134" s="2">
        <v>300000</v>
      </c>
      <c r="F134" s="31">
        <v>300000</v>
      </c>
    </row>
    <row r="135" spans="1:6" s="18" customFormat="1" ht="14.25">
      <c r="B135" s="21" t="s">
        <v>225</v>
      </c>
      <c r="C135" s="22" t="s">
        <v>24</v>
      </c>
      <c r="D135" s="3">
        <f>D136</f>
        <v>3376548841.3500004</v>
      </c>
      <c r="E135" s="3">
        <f>E136</f>
        <v>2217899413.9099998</v>
      </c>
      <c r="F135" s="3">
        <f t="shared" ref="F135" si="9">F136</f>
        <v>1993877944.9099998</v>
      </c>
    </row>
    <row r="136" spans="1:6" s="18" customFormat="1" ht="42.75">
      <c r="B136" s="26" t="s">
        <v>226</v>
      </c>
      <c r="C136" s="27" t="s">
        <v>227</v>
      </c>
      <c r="D136" s="5">
        <f>D137+D140+D165+D184</f>
        <v>3376548841.3500004</v>
      </c>
      <c r="E136" s="5">
        <f>E137+E140+E165+E184</f>
        <v>2217899413.9099998</v>
      </c>
      <c r="F136" s="5">
        <f>F137+F140+F165+F184</f>
        <v>1993877944.9099998</v>
      </c>
    </row>
    <row r="137" spans="1:6" ht="28.5">
      <c r="A137" s="18"/>
      <c r="B137" s="23" t="s">
        <v>228</v>
      </c>
      <c r="C137" s="24" t="s">
        <v>229</v>
      </c>
      <c r="D137" s="35">
        <v>39358000</v>
      </c>
      <c r="E137" s="4">
        <v>2095000</v>
      </c>
      <c r="F137" s="25">
        <v>971000</v>
      </c>
    </row>
    <row r="138" spans="1:6" ht="30">
      <c r="A138" s="18"/>
      <c r="B138" s="29" t="s">
        <v>230</v>
      </c>
      <c r="C138" s="30" t="s">
        <v>231</v>
      </c>
      <c r="D138" s="2">
        <v>39358000</v>
      </c>
      <c r="E138" s="2">
        <v>2095000</v>
      </c>
      <c r="F138" s="31">
        <v>971000</v>
      </c>
    </row>
    <row r="139" spans="1:6" ht="45">
      <c r="B139" s="29" t="s">
        <v>232</v>
      </c>
      <c r="C139" s="30" t="s">
        <v>233</v>
      </c>
      <c r="D139" s="2">
        <v>39358000</v>
      </c>
      <c r="E139" s="2">
        <v>2095000</v>
      </c>
      <c r="F139" s="31">
        <v>971000</v>
      </c>
    </row>
    <row r="140" spans="1:6" ht="42.75">
      <c r="B140" s="23" t="s">
        <v>237</v>
      </c>
      <c r="C140" s="24" t="s">
        <v>238</v>
      </c>
      <c r="D140" s="35">
        <f>D141+D145+D149+D151+D153+D159+D163+D157+D161+D143+D155</f>
        <v>1654824031.3500001</v>
      </c>
      <c r="E140" s="4">
        <f>E141+E145+E149+E151+E153+E159+E163+E157+E161+E143+E147+E155</f>
        <v>960673413.90999997</v>
      </c>
      <c r="F140" s="4">
        <f>F141+F145+F149+F151+F153+F159+F163+F157+F161+F143+F147+F155</f>
        <v>752804944.90999997</v>
      </c>
    </row>
    <row r="141" spans="1:6" ht="45">
      <c r="B141" s="29" t="s">
        <v>239</v>
      </c>
      <c r="C141" s="30" t="s">
        <v>240</v>
      </c>
      <c r="D141" s="2">
        <f>D142</f>
        <v>828454640</v>
      </c>
      <c r="E141" s="2">
        <f t="shared" ref="E141:F141" si="10">E142</f>
        <v>532594620</v>
      </c>
      <c r="F141" s="2">
        <f t="shared" si="10"/>
        <v>115099780</v>
      </c>
    </row>
    <row r="142" spans="1:6" ht="45">
      <c r="B142" s="29" t="s">
        <v>241</v>
      </c>
      <c r="C142" s="30" t="s">
        <v>242</v>
      </c>
      <c r="D142" s="2">
        <f>653261930+97749330+81700000-4256620</f>
        <v>828454640</v>
      </c>
      <c r="E142" s="2">
        <f>450829780+77508.22*1000+4256620</f>
        <v>532594620</v>
      </c>
      <c r="F142" s="31">
        <f>0+115099.78*1000</f>
        <v>115099780</v>
      </c>
    </row>
    <row r="143" spans="1:6" ht="120">
      <c r="B143" s="29" t="s">
        <v>325</v>
      </c>
      <c r="C143" s="30" t="s">
        <v>326</v>
      </c>
      <c r="D143" s="2">
        <f>D144</f>
        <v>13900240</v>
      </c>
      <c r="E143" s="2">
        <v>0</v>
      </c>
      <c r="F143" s="31">
        <v>0</v>
      </c>
    </row>
    <row r="144" spans="1:6" ht="120">
      <c r="B144" s="29" t="s">
        <v>319</v>
      </c>
      <c r="C144" s="30" t="s">
        <v>320</v>
      </c>
      <c r="D144" s="2">
        <f>14791830-891590</f>
        <v>13900240</v>
      </c>
      <c r="E144" s="2">
        <v>0</v>
      </c>
      <c r="F144" s="31">
        <v>0</v>
      </c>
    </row>
    <row r="145" spans="2:6" ht="105">
      <c r="B145" s="29" t="s">
        <v>243</v>
      </c>
      <c r="C145" s="30" t="s">
        <v>244</v>
      </c>
      <c r="D145" s="2">
        <f>D146</f>
        <v>242770790.69000003</v>
      </c>
      <c r="E145" s="2">
        <f t="shared" ref="E145:F145" si="11">E146</f>
        <v>84430743.909999996</v>
      </c>
      <c r="F145" s="2">
        <f t="shared" si="11"/>
        <v>98517204.909999996</v>
      </c>
    </row>
    <row r="146" spans="2:6" ht="105">
      <c r="B146" s="29" t="s">
        <v>245</v>
      </c>
      <c r="C146" s="30" t="s">
        <v>246</v>
      </c>
      <c r="D146" s="2">
        <f>431496221.71-154797397.98-33928033.04</f>
        <v>242770790.69000003</v>
      </c>
      <c r="E146" s="2">
        <f>0+153141335.13-68710591.22</f>
        <v>84430743.909999996</v>
      </c>
      <c r="F146" s="31">
        <f>0+98517204.91</f>
        <v>98517204.909999996</v>
      </c>
    </row>
    <row r="147" spans="2:6" ht="60">
      <c r="B147" s="29" t="s">
        <v>321</v>
      </c>
      <c r="C147" s="30" t="s">
        <v>322</v>
      </c>
      <c r="D147" s="2">
        <v>0</v>
      </c>
      <c r="E147" s="2">
        <f>E148</f>
        <v>79211000</v>
      </c>
      <c r="F147" s="31">
        <f>F148</f>
        <v>0</v>
      </c>
    </row>
    <row r="148" spans="2:6" ht="60">
      <c r="B148" s="29" t="s">
        <v>323</v>
      </c>
      <c r="C148" s="30" t="s">
        <v>324</v>
      </c>
      <c r="D148" s="2">
        <v>0</v>
      </c>
      <c r="E148" s="2">
        <v>79211000</v>
      </c>
      <c r="F148" s="2">
        <v>0</v>
      </c>
    </row>
    <row r="149" spans="2:6" ht="60">
      <c r="B149" s="29" t="s">
        <v>247</v>
      </c>
      <c r="C149" s="30" t="s">
        <v>248</v>
      </c>
      <c r="D149" s="2">
        <f>D150</f>
        <v>2235000</v>
      </c>
      <c r="E149" s="2">
        <f t="shared" ref="E149:F149" si="12">E150</f>
        <v>2254000</v>
      </c>
      <c r="F149" s="2">
        <f t="shared" si="12"/>
        <v>4503000</v>
      </c>
    </row>
    <row r="150" spans="2:6" ht="60">
      <c r="B150" s="29" t="s">
        <v>249</v>
      </c>
      <c r="C150" s="30" t="s">
        <v>250</v>
      </c>
      <c r="D150" s="2">
        <v>2235000</v>
      </c>
      <c r="E150" s="2">
        <v>2254000</v>
      </c>
      <c r="F150" s="31">
        <v>4503000</v>
      </c>
    </row>
    <row r="151" spans="2:6" ht="45">
      <c r="B151" s="29" t="s">
        <v>251</v>
      </c>
      <c r="C151" s="30" t="s">
        <v>252</v>
      </c>
      <c r="D151" s="2">
        <f>D152</f>
        <v>0</v>
      </c>
      <c r="E151" s="2">
        <f t="shared" ref="E151:F151" si="13">E152</f>
        <v>2600000</v>
      </c>
      <c r="F151" s="2">
        <f t="shared" si="13"/>
        <v>0</v>
      </c>
    </row>
    <row r="152" spans="2:6" ht="45">
      <c r="B152" s="29" t="s">
        <v>253</v>
      </c>
      <c r="C152" s="30" t="s">
        <v>254</v>
      </c>
      <c r="D152" s="2">
        <v>0</v>
      </c>
      <c r="E152" s="2">
        <v>2600000</v>
      </c>
      <c r="F152" s="31">
        <v>0</v>
      </c>
    </row>
    <row r="153" spans="2:6" ht="60">
      <c r="B153" s="29" t="s">
        <v>255</v>
      </c>
      <c r="C153" s="30" t="s">
        <v>256</v>
      </c>
      <c r="D153" s="2">
        <f>D154</f>
        <v>177063040</v>
      </c>
      <c r="E153" s="2">
        <f t="shared" ref="E153:F153" si="14">E154</f>
        <v>0</v>
      </c>
      <c r="F153" s="2">
        <f t="shared" si="14"/>
        <v>0</v>
      </c>
    </row>
    <row r="154" spans="2:6" ht="75">
      <c r="B154" s="29" t="s">
        <v>257</v>
      </c>
      <c r="C154" s="30" t="s">
        <v>258</v>
      </c>
      <c r="D154" s="2">
        <f>177062630+410</f>
        <v>177063040</v>
      </c>
      <c r="E154" s="2">
        <v>0</v>
      </c>
      <c r="F154" s="31">
        <v>0</v>
      </c>
    </row>
    <row r="155" spans="2:6" ht="60">
      <c r="B155" s="29" t="s">
        <v>331</v>
      </c>
      <c r="C155" s="30" t="s">
        <v>332</v>
      </c>
      <c r="D155" s="2">
        <f>D156</f>
        <v>14616000</v>
      </c>
      <c r="E155" s="2">
        <f>E156</f>
        <v>33199000</v>
      </c>
      <c r="F155" s="31">
        <f>F156</f>
        <v>27151000</v>
      </c>
    </row>
    <row r="156" spans="2:6" ht="75">
      <c r="B156" s="29" t="s">
        <v>333</v>
      </c>
      <c r="C156" s="30" t="s">
        <v>334</v>
      </c>
      <c r="D156" s="2">
        <v>14616000</v>
      </c>
      <c r="E156" s="2">
        <f>27151000+6048000</f>
        <v>33199000</v>
      </c>
      <c r="F156" s="31">
        <v>27151000</v>
      </c>
    </row>
    <row r="157" spans="2:6" ht="30">
      <c r="B157" s="29" t="s">
        <v>311</v>
      </c>
      <c r="C157" s="30" t="s">
        <v>312</v>
      </c>
      <c r="D157" s="2">
        <f>D158</f>
        <v>7017600</v>
      </c>
      <c r="E157" s="2">
        <f t="shared" ref="E157:F157" si="15">E158</f>
        <v>0</v>
      </c>
      <c r="F157" s="2">
        <f t="shared" si="15"/>
        <v>0</v>
      </c>
    </row>
    <row r="158" spans="2:6" ht="45">
      <c r="B158" s="29" t="s">
        <v>313</v>
      </c>
      <c r="C158" s="30" t="s">
        <v>314</v>
      </c>
      <c r="D158" s="2">
        <v>7017600</v>
      </c>
      <c r="E158" s="2">
        <v>0</v>
      </c>
      <c r="F158" s="31">
        <v>0</v>
      </c>
    </row>
    <row r="159" spans="2:6" ht="30">
      <c r="B159" s="29" t="s">
        <v>259</v>
      </c>
      <c r="C159" s="30" t="s">
        <v>260</v>
      </c>
      <c r="D159" s="2">
        <f>D160</f>
        <v>0</v>
      </c>
      <c r="E159" s="2">
        <f t="shared" ref="E159:F159" si="16">E160</f>
        <v>0</v>
      </c>
      <c r="F159" s="2">
        <f t="shared" si="16"/>
        <v>191618140</v>
      </c>
    </row>
    <row r="160" spans="2:6" ht="45">
      <c r="B160" s="29" t="s">
        <v>261</v>
      </c>
      <c r="C160" s="30" t="s">
        <v>262</v>
      </c>
      <c r="D160" s="2">
        <f>82014830-82014830</f>
        <v>0</v>
      </c>
      <c r="E160" s="2">
        <f>43586370-43586370</f>
        <v>0</v>
      </c>
      <c r="F160" s="31">
        <v>191618140</v>
      </c>
    </row>
    <row r="161" spans="2:6" ht="90">
      <c r="B161" s="29" t="s">
        <v>315</v>
      </c>
      <c r="C161" s="30" t="s">
        <v>316</v>
      </c>
      <c r="D161" s="2">
        <f>D162</f>
        <v>5417900.6600000001</v>
      </c>
      <c r="E161" s="2">
        <f t="shared" ref="E161:F161" si="17">E162</f>
        <v>0</v>
      </c>
      <c r="F161" s="2">
        <f t="shared" si="17"/>
        <v>0</v>
      </c>
    </row>
    <row r="162" spans="2:6" ht="90">
      <c r="B162" s="29" t="s">
        <v>317</v>
      </c>
      <c r="C162" s="30" t="s">
        <v>318</v>
      </c>
      <c r="D162" s="2">
        <f>7204.61829*1000-1786717.63</f>
        <v>5417900.6600000001</v>
      </c>
      <c r="E162" s="2">
        <v>0</v>
      </c>
      <c r="F162" s="31">
        <v>0</v>
      </c>
    </row>
    <row r="163" spans="2:6" ht="15">
      <c r="B163" s="29" t="s">
        <v>263</v>
      </c>
      <c r="C163" s="30" t="s">
        <v>264</v>
      </c>
      <c r="D163" s="2">
        <f>D164</f>
        <v>363348820</v>
      </c>
      <c r="E163" s="2">
        <f>E164</f>
        <v>226384050</v>
      </c>
      <c r="F163" s="2">
        <f t="shared" ref="F163" si="18">F164</f>
        <v>315915820</v>
      </c>
    </row>
    <row r="164" spans="2:6" ht="15">
      <c r="B164" s="29" t="s">
        <v>265</v>
      </c>
      <c r="C164" s="30" t="s">
        <v>266</v>
      </c>
      <c r="D164" s="2">
        <f>477631890-1381.71-7204.61829*1000+2636190-350+(-42-8260+1638.6-8458.68-5944.19+36115.27+8470+752-717-16540+3+9000+10529.58)*1000-0.1*1000+100-37302810-942780-24062000+404880+2000000-76356780</f>
        <v>363348820</v>
      </c>
      <c r="E164" s="2">
        <f>236521600+48428320-42*1000-58523870</f>
        <v>226384050</v>
      </c>
      <c r="F164" s="31">
        <f>329109380+20-13151580-42*1000</f>
        <v>315915820</v>
      </c>
    </row>
    <row r="165" spans="2:6" ht="28.5">
      <c r="B165" s="23" t="s">
        <v>267</v>
      </c>
      <c r="C165" s="24" t="s">
        <v>268</v>
      </c>
      <c r="D165" s="35">
        <f>D166+D168+D170+D172+D174+D176+D178+D180+D182</f>
        <v>1199801000</v>
      </c>
      <c r="E165" s="4">
        <f t="shared" ref="E165:F165" si="19">E166+E168+E170+E172+E174+E176+E178+E180+E182</f>
        <v>1226244000</v>
      </c>
      <c r="F165" s="4">
        <f t="shared" si="19"/>
        <v>1238102000</v>
      </c>
    </row>
    <row r="166" spans="2:6" ht="60">
      <c r="B166" s="29" t="s">
        <v>269</v>
      </c>
      <c r="C166" s="30" t="s">
        <v>270</v>
      </c>
      <c r="D166" s="2">
        <f>D167</f>
        <v>49802000</v>
      </c>
      <c r="E166" s="2">
        <f t="shared" ref="E166:F166" si="20">E167</f>
        <v>54335000</v>
      </c>
      <c r="F166" s="2">
        <f t="shared" si="20"/>
        <v>56431000</v>
      </c>
    </row>
    <row r="167" spans="2:6" ht="45">
      <c r="B167" s="29" t="s">
        <v>271</v>
      </c>
      <c r="C167" s="30" t="s">
        <v>272</v>
      </c>
      <c r="D167" s="2">
        <f>50802000-1000000</f>
        <v>49802000</v>
      </c>
      <c r="E167" s="2">
        <v>54335000</v>
      </c>
      <c r="F167" s="31">
        <v>56431000</v>
      </c>
    </row>
    <row r="168" spans="2:6" ht="45">
      <c r="B168" s="29" t="s">
        <v>273</v>
      </c>
      <c r="C168" s="30" t="s">
        <v>274</v>
      </c>
      <c r="D168" s="2">
        <f>D169</f>
        <v>55405000</v>
      </c>
      <c r="E168" s="2">
        <f t="shared" ref="E168:F168" si="21">E169</f>
        <v>40565000</v>
      </c>
      <c r="F168" s="2">
        <f t="shared" si="21"/>
        <v>40579000</v>
      </c>
    </row>
    <row r="169" spans="2:6" ht="45">
      <c r="B169" s="29" t="s">
        <v>275</v>
      </c>
      <c r="C169" s="30" t="s">
        <v>276</v>
      </c>
      <c r="D169" s="2">
        <f>63138000+249000-3150000-4832000</f>
        <v>55405000</v>
      </c>
      <c r="E169" s="2">
        <f>49888000+249*1000-9572000</f>
        <v>40565000</v>
      </c>
      <c r="F169" s="31">
        <f>49902000+249000-9572000</f>
        <v>40579000</v>
      </c>
    </row>
    <row r="170" spans="2:6" ht="90">
      <c r="B170" s="29" t="s">
        <v>277</v>
      </c>
      <c r="C170" s="30" t="s">
        <v>278</v>
      </c>
      <c r="D170" s="2">
        <f>D171</f>
        <v>23861000</v>
      </c>
      <c r="E170" s="2">
        <f t="shared" ref="E170:F170" si="22">E171</f>
        <v>28569000</v>
      </c>
      <c r="F170" s="2">
        <f t="shared" si="22"/>
        <v>28569000</v>
      </c>
    </row>
    <row r="171" spans="2:6" ht="90">
      <c r="B171" s="29" t="s">
        <v>279</v>
      </c>
      <c r="C171" s="30" t="s">
        <v>280</v>
      </c>
      <c r="D171" s="2">
        <f>28569000-4598000-110000</f>
        <v>23861000</v>
      </c>
      <c r="E171" s="2">
        <v>28569000</v>
      </c>
      <c r="F171" s="31">
        <v>28569000</v>
      </c>
    </row>
    <row r="172" spans="2:6" ht="90">
      <c r="B172" s="29" t="s">
        <v>281</v>
      </c>
      <c r="C172" s="30" t="s">
        <v>282</v>
      </c>
      <c r="D172" s="2">
        <f>D173</f>
        <v>36036000</v>
      </c>
      <c r="E172" s="2">
        <f t="shared" ref="E172:F172" si="23">E173</f>
        <v>22522000</v>
      </c>
      <c r="F172" s="2">
        <f t="shared" si="23"/>
        <v>31531000</v>
      </c>
    </row>
    <row r="173" spans="2:6" ht="75">
      <c r="B173" s="29" t="s">
        <v>283</v>
      </c>
      <c r="C173" s="30" t="s">
        <v>284</v>
      </c>
      <c r="D173" s="2">
        <f>33783000+2253000</f>
        <v>36036000</v>
      </c>
      <c r="E173" s="2">
        <v>22522000</v>
      </c>
      <c r="F173" s="31">
        <v>31531000</v>
      </c>
    </row>
    <row r="174" spans="2:6" ht="45">
      <c r="B174" s="29" t="s">
        <v>285</v>
      </c>
      <c r="C174" s="30" t="s">
        <v>286</v>
      </c>
      <c r="D174" s="2">
        <f>D175</f>
        <v>5130000</v>
      </c>
      <c r="E174" s="2">
        <f t="shared" ref="E174:F174" si="24">E175</f>
        <v>4714000</v>
      </c>
      <c r="F174" s="2">
        <f t="shared" si="24"/>
        <v>4944000</v>
      </c>
    </row>
    <row r="175" spans="2:6" ht="60">
      <c r="B175" s="29" t="s">
        <v>287</v>
      </c>
      <c r="C175" s="30" t="s">
        <v>288</v>
      </c>
      <c r="D175" s="2">
        <f>4645000+7000+478000</f>
        <v>5130000</v>
      </c>
      <c r="E175" s="2">
        <f>4707000+7000</f>
        <v>4714000</v>
      </c>
      <c r="F175" s="31">
        <f>4937000+7000</f>
        <v>4944000</v>
      </c>
    </row>
    <row r="176" spans="2:6" ht="60">
      <c r="B176" s="29" t="s">
        <v>289</v>
      </c>
      <c r="C176" s="30" t="s">
        <v>290</v>
      </c>
      <c r="D176" s="2">
        <f>D177</f>
        <v>1000</v>
      </c>
      <c r="E176" s="2">
        <f t="shared" ref="E176:F178" si="25">E177</f>
        <v>2000</v>
      </c>
      <c r="F176" s="2">
        <f t="shared" si="25"/>
        <v>511000</v>
      </c>
    </row>
    <row r="177" spans="2:6" ht="75">
      <c r="B177" s="29" t="s">
        <v>291</v>
      </c>
      <c r="C177" s="30" t="s">
        <v>292</v>
      </c>
      <c r="D177" s="2">
        <f>2000-1000</f>
        <v>1000</v>
      </c>
      <c r="E177" s="2">
        <v>2000</v>
      </c>
      <c r="F177" s="31">
        <v>511000</v>
      </c>
    </row>
    <row r="178" spans="2:6" ht="75">
      <c r="B178" s="32" t="s">
        <v>337</v>
      </c>
      <c r="C178" s="33" t="s">
        <v>336</v>
      </c>
      <c r="D178" s="2">
        <f>D179</f>
        <v>9609000</v>
      </c>
      <c r="E178" s="2">
        <f t="shared" si="25"/>
        <v>28826000</v>
      </c>
      <c r="F178" s="31">
        <f t="shared" si="25"/>
        <v>28826000</v>
      </c>
    </row>
    <row r="179" spans="2:6" ht="75">
      <c r="B179" s="32" t="s">
        <v>335</v>
      </c>
      <c r="C179" s="33" t="s">
        <v>336</v>
      </c>
      <c r="D179" s="2">
        <v>9609000</v>
      </c>
      <c r="E179" s="2">
        <v>28826000</v>
      </c>
      <c r="F179" s="31">
        <v>28826000</v>
      </c>
    </row>
    <row r="180" spans="2:6" ht="30">
      <c r="B180" s="29" t="s">
        <v>293</v>
      </c>
      <c r="C180" s="30" t="s">
        <v>294</v>
      </c>
      <c r="D180" s="2">
        <f>D181</f>
        <v>0</v>
      </c>
      <c r="E180" s="2">
        <f t="shared" ref="E180:F180" si="26">E181</f>
        <v>0</v>
      </c>
      <c r="F180" s="2">
        <f t="shared" si="26"/>
        <v>0</v>
      </c>
    </row>
    <row r="181" spans="2:6" ht="45">
      <c r="B181" s="29" t="s">
        <v>295</v>
      </c>
      <c r="C181" s="30" t="s">
        <v>296</v>
      </c>
      <c r="D181" s="2">
        <f>1720000-1720000</f>
        <v>0</v>
      </c>
      <c r="E181" s="2">
        <v>0</v>
      </c>
      <c r="F181" s="31">
        <v>0</v>
      </c>
    </row>
    <row r="182" spans="2:6" ht="15">
      <c r="B182" s="29" t="s">
        <v>297</v>
      </c>
      <c r="C182" s="30" t="s">
        <v>298</v>
      </c>
      <c r="D182" s="2">
        <f>D183</f>
        <v>1019957000</v>
      </c>
      <c r="E182" s="2">
        <f t="shared" ref="E182:F182" si="27">E183</f>
        <v>1046711000</v>
      </c>
      <c r="F182" s="2">
        <f t="shared" si="27"/>
        <v>1046711000</v>
      </c>
    </row>
    <row r="183" spans="2:6" ht="15">
      <c r="B183" s="29" t="s">
        <v>299</v>
      </c>
      <c r="C183" s="30" t="s">
        <v>300</v>
      </c>
      <c r="D183" s="2">
        <f>1046711000+6133000-9609000-23278000</f>
        <v>1019957000</v>
      </c>
      <c r="E183" s="2">
        <f>1046711000+28826000-28826000</f>
        <v>1046711000</v>
      </c>
      <c r="F183" s="31">
        <f>1046711000+28826000-28826000</f>
        <v>1046711000</v>
      </c>
    </row>
    <row r="184" spans="2:6" ht="14.25">
      <c r="B184" s="23" t="s">
        <v>301</v>
      </c>
      <c r="C184" s="24" t="s">
        <v>302</v>
      </c>
      <c r="D184" s="35">
        <f t="shared" ref="D184" si="28">D185</f>
        <v>482565810</v>
      </c>
      <c r="E184" s="4">
        <f t="shared" ref="E184" si="29">E185</f>
        <v>28887000</v>
      </c>
      <c r="F184" s="4">
        <f t="shared" ref="F184" si="30">F185</f>
        <v>2000000</v>
      </c>
    </row>
    <row r="185" spans="2:6" ht="30">
      <c r="B185" s="29" t="s">
        <v>303</v>
      </c>
      <c r="C185" s="30" t="s">
        <v>304</v>
      </c>
      <c r="D185" s="2">
        <f>D186</f>
        <v>482565810</v>
      </c>
      <c r="E185" s="2">
        <f t="shared" ref="E185:F185" si="31">E186</f>
        <v>28887000</v>
      </c>
      <c r="F185" s="2">
        <f t="shared" si="31"/>
        <v>2000000</v>
      </c>
    </row>
    <row r="186" spans="2:6" ht="30">
      <c r="B186" s="29" t="s">
        <v>305</v>
      </c>
      <c r="C186" s="30" t="s">
        <v>306</v>
      </c>
      <c r="D186" s="2">
        <f>28248000+(1036.7+146313)*1000+42565810+55000000+70000000+139402300</f>
        <v>482565810</v>
      </c>
      <c r="E186" s="2">
        <v>28887000</v>
      </c>
      <c r="F186" s="31">
        <v>2000000</v>
      </c>
    </row>
    <row r="187" spans="2:6" ht="14.25">
      <c r="B187" s="42" t="s">
        <v>234</v>
      </c>
      <c r="C187" s="43"/>
      <c r="D187" s="6">
        <f t="shared" ref="D187:F187" si="32">D22+D135</f>
        <v>5074066841.3500004</v>
      </c>
      <c r="E187" s="6">
        <f t="shared" si="32"/>
        <v>4142906413.9099998</v>
      </c>
      <c r="F187" s="6">
        <f t="shared" si="32"/>
        <v>4238476944.9099998</v>
      </c>
    </row>
  </sheetData>
  <mergeCells count="18">
    <mergeCell ref="B187:C187"/>
    <mergeCell ref="B19:B20"/>
    <mergeCell ref="C19:C20"/>
    <mergeCell ref="D1:F1"/>
    <mergeCell ref="D2:F2"/>
    <mergeCell ref="D3:F3"/>
    <mergeCell ref="D4:F4"/>
    <mergeCell ref="D5:F5"/>
    <mergeCell ref="C12:F12"/>
    <mergeCell ref="C13:F13"/>
    <mergeCell ref="D19:D20"/>
    <mergeCell ref="C7:F7"/>
    <mergeCell ref="C8:F8"/>
    <mergeCell ref="C9:F9"/>
    <mergeCell ref="C10:F10"/>
    <mergeCell ref="C11:F11"/>
    <mergeCell ref="E19:F19"/>
    <mergeCell ref="B16:F16"/>
  </mergeCells>
  <pageMargins left="0.59055118110236227" right="0.39370078740157483" top="0.31496062992125984" bottom="0.19685039370078741" header="0.23622047244094491" footer="0.11811023622047245"/>
  <pageSetup paperSize="9" scale="75" fitToHeight="11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 №1_доходы 2020-2022  </vt:lpstr>
      <vt:lpstr>'Пр №1_доходы 2020-2022  '!Заголовки_для_печати</vt:lpstr>
      <vt:lpstr>'Пр №1_доходы 2020-2022  '!Область_печати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user</cp:lastModifiedBy>
  <cp:lastPrinted>2020-11-20T15:02:23Z</cp:lastPrinted>
  <dcterms:created xsi:type="dcterms:W3CDTF">2017-11-15T18:44:11Z</dcterms:created>
  <dcterms:modified xsi:type="dcterms:W3CDTF">2020-11-25T09:34:09Z</dcterms:modified>
  <dc:description>exif_MSED_7718bccd75cb6ad17385899212e6137cab10a02cf17ed3d194c74c0244887874</dc:description>
</cp:coreProperties>
</file>