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1_доходы 2021-2023 декабрь" sheetId="1" r:id="rId1"/>
  </sheets>
  <definedNames>
    <definedName name="_xlnm._FilterDatabase" localSheetId="0" hidden="1">'№1_доходы 2021-2023 декабрь'!$A$18:$F$204</definedName>
    <definedName name="_xlnm.Print_Titles" localSheetId="0">'№1_доходы 2021-2023 декабрь'!$16:$18</definedName>
    <definedName name="_xlnm.Print_Area" localSheetId="0">'№1_доходы 2021-2023 декабрь'!$B$1:$F$204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8" i="1"/>
  <c r="D156"/>
  <c r="E178"/>
  <c r="E154"/>
  <c r="D154"/>
  <c r="E158"/>
  <c r="D158"/>
  <c r="E174"/>
  <c r="E173" s="1"/>
  <c r="E168"/>
  <c r="F178"/>
  <c r="F168"/>
  <c r="D200"/>
  <c r="E200" l="1"/>
  <c r="F156" l="1"/>
  <c r="D176" l="1"/>
  <c r="D197" l="1"/>
  <c r="D183"/>
  <c r="E132" l="1"/>
  <c r="F132"/>
  <c r="F197" l="1"/>
  <c r="E197"/>
  <c r="D195"/>
  <c r="E192"/>
  <c r="F192"/>
  <c r="D192"/>
  <c r="D187"/>
  <c r="D138" l="1"/>
  <c r="D99"/>
  <c r="D46"/>
  <c r="E150" l="1"/>
  <c r="F150"/>
  <c r="D150"/>
  <c r="D139"/>
  <c r="G31"/>
  <c r="D144"/>
  <c r="D131"/>
  <c r="D123"/>
  <c r="D95"/>
  <c r="D82"/>
  <c r="D80"/>
  <c r="D69"/>
  <c r="D66"/>
  <c r="D62"/>
  <c r="D58"/>
  <c r="D55"/>
  <c r="D52"/>
  <c r="D49"/>
  <c r="D30"/>
  <c r="D23"/>
  <c r="G23" s="1"/>
  <c r="D132" l="1"/>
  <c r="D168" l="1"/>
  <c r="D201" l="1"/>
  <c r="E202"/>
  <c r="E201" s="1"/>
  <c r="F202"/>
  <c r="F201" s="1"/>
  <c r="E164" l="1"/>
  <c r="D164"/>
  <c r="F200" l="1"/>
  <c r="E170" l="1"/>
  <c r="D170"/>
  <c r="E166"/>
  <c r="F163"/>
  <c r="E163"/>
  <c r="D163"/>
  <c r="E162"/>
  <c r="D162"/>
  <c r="E156"/>
  <c r="E155" s="1"/>
  <c r="F155"/>
  <c r="D155"/>
  <c r="E79" l="1"/>
  <c r="F79"/>
  <c r="D79"/>
  <c r="D25"/>
  <c r="G25" s="1"/>
  <c r="D27"/>
  <c r="G27" s="1"/>
  <c r="D29"/>
  <c r="G29" s="1"/>
  <c r="D149"/>
  <c r="F183" l="1"/>
  <c r="E183"/>
  <c r="D191"/>
  <c r="F187" l="1"/>
  <c r="D186"/>
  <c r="F189"/>
  <c r="E189"/>
  <c r="D189"/>
  <c r="D188" s="1"/>
  <c r="F181" l="1"/>
  <c r="E181"/>
  <c r="D181"/>
  <c r="F185"/>
  <c r="F184" s="1"/>
  <c r="E185"/>
  <c r="E184" s="1"/>
  <c r="D185"/>
  <c r="D184" s="1"/>
  <c r="D194"/>
  <c r="D153" l="1"/>
  <c r="E153"/>
  <c r="F153"/>
  <c r="F173"/>
  <c r="D173"/>
  <c r="E165"/>
  <c r="F165"/>
  <c r="D165"/>
  <c r="D160"/>
  <c r="D159" s="1"/>
  <c r="E159"/>
  <c r="F159"/>
  <c r="F170"/>
  <c r="F169" s="1"/>
  <c r="E169"/>
  <c r="D169"/>
  <c r="D175"/>
  <c r="E175"/>
  <c r="F175"/>
  <c r="E161"/>
  <c r="D161"/>
  <c r="F161"/>
  <c r="F171"/>
  <c r="E171"/>
  <c r="D171"/>
  <c r="D38" l="1"/>
  <c r="F143" l="1"/>
  <c r="E143"/>
  <c r="D143"/>
  <c r="E97" l="1"/>
  <c r="E96" s="1"/>
  <c r="F97"/>
  <c r="F96" s="1"/>
  <c r="D97"/>
  <c r="D96" s="1"/>
  <c r="E94"/>
  <c r="E93" s="1"/>
  <c r="F94"/>
  <c r="F93" s="1"/>
  <c r="D94"/>
  <c r="E122"/>
  <c r="E121" s="1"/>
  <c r="F122"/>
  <c r="F121" s="1"/>
  <c r="E125"/>
  <c r="F125"/>
  <c r="E127"/>
  <c r="F127"/>
  <c r="E130"/>
  <c r="E129" s="1"/>
  <c r="F130"/>
  <c r="F129" s="1"/>
  <c r="E142"/>
  <c r="E141" s="1"/>
  <c r="F142"/>
  <c r="F141" s="1"/>
  <c r="D157"/>
  <c r="E157"/>
  <c r="F157"/>
  <c r="D167"/>
  <c r="E167"/>
  <c r="F167"/>
  <c r="E148"/>
  <c r="E147" s="1"/>
  <c r="F148"/>
  <c r="F147" s="1"/>
  <c r="D148"/>
  <c r="D147" s="1"/>
  <c r="E102"/>
  <c r="F102"/>
  <c r="E104"/>
  <c r="F104"/>
  <c r="E107"/>
  <c r="F107"/>
  <c r="E109"/>
  <c r="F109"/>
  <c r="E113"/>
  <c r="E112" s="1"/>
  <c r="F113"/>
  <c r="F112" s="1"/>
  <c r="E116"/>
  <c r="F116"/>
  <c r="E118"/>
  <c r="F118"/>
  <c r="F83"/>
  <c r="E83"/>
  <c r="E85"/>
  <c r="F85"/>
  <c r="E87"/>
  <c r="F87"/>
  <c r="E90"/>
  <c r="E89" s="1"/>
  <c r="F90"/>
  <c r="F89" s="1"/>
  <c r="E75"/>
  <c r="E74" s="1"/>
  <c r="F75"/>
  <c r="F74" s="1"/>
  <c r="E72"/>
  <c r="E71" s="1"/>
  <c r="F72"/>
  <c r="F71" s="1"/>
  <c r="E68"/>
  <c r="E67" s="1"/>
  <c r="F68"/>
  <c r="F67" s="1"/>
  <c r="E65"/>
  <c r="E64" s="1"/>
  <c r="F65"/>
  <c r="F64" s="1"/>
  <c r="E61"/>
  <c r="E60" s="1"/>
  <c r="F61"/>
  <c r="F60" s="1"/>
  <c r="E45"/>
  <c r="E44" s="1"/>
  <c r="F45"/>
  <c r="F44" s="1"/>
  <c r="E48"/>
  <c r="E47" s="1"/>
  <c r="F48"/>
  <c r="F47" s="1"/>
  <c r="E51"/>
  <c r="E50" s="1"/>
  <c r="F51"/>
  <c r="F50" s="1"/>
  <c r="E54"/>
  <c r="E53" s="1"/>
  <c r="F54"/>
  <c r="F53" s="1"/>
  <c r="E57"/>
  <c r="E56" s="1"/>
  <c r="F57"/>
  <c r="F56" s="1"/>
  <c r="E40"/>
  <c r="F40"/>
  <c r="D40"/>
  <c r="F38"/>
  <c r="E38"/>
  <c r="F36"/>
  <c r="E36"/>
  <c r="D36"/>
  <c r="E34"/>
  <c r="F34"/>
  <c r="E92" l="1"/>
  <c r="E106"/>
  <c r="E101" s="1"/>
  <c r="E100" s="1"/>
  <c r="E115"/>
  <c r="E111" s="1"/>
  <c r="F92"/>
  <c r="E33"/>
  <c r="E32" s="1"/>
  <c r="F33"/>
  <c r="F32" s="1"/>
  <c r="E124"/>
  <c r="E120" s="1"/>
  <c r="F124"/>
  <c r="F120" s="1"/>
  <c r="E43"/>
  <c r="E42" s="1"/>
  <c r="F43"/>
  <c r="F42" s="1"/>
  <c r="F78"/>
  <c r="F115"/>
  <c r="F111" s="1"/>
  <c r="F106"/>
  <c r="F101" s="1"/>
  <c r="F100" s="1"/>
  <c r="E78"/>
  <c r="E70"/>
  <c r="F70"/>
  <c r="E63"/>
  <c r="E59" s="1"/>
  <c r="F63"/>
  <c r="F59" s="1"/>
  <c r="D34"/>
  <c r="D33" s="1"/>
  <c r="D32" s="1"/>
  <c r="E26"/>
  <c r="F26"/>
  <c r="E24"/>
  <c r="F24"/>
  <c r="E22"/>
  <c r="F22"/>
  <c r="E77" l="1"/>
  <c r="F77"/>
  <c r="D22"/>
  <c r="D24"/>
  <c r="D26"/>
  <c r="D28"/>
  <c r="E28"/>
  <c r="E21" s="1"/>
  <c r="E20" s="1"/>
  <c r="F28"/>
  <c r="F21" s="1"/>
  <c r="F20" s="1"/>
  <c r="D45"/>
  <c r="D44" s="1"/>
  <c r="D48"/>
  <c r="D47" s="1"/>
  <c r="D51"/>
  <c r="D50" s="1"/>
  <c r="D54"/>
  <c r="D53" s="1"/>
  <c r="D57"/>
  <c r="D56" s="1"/>
  <c r="D61"/>
  <c r="D60" s="1"/>
  <c r="D65"/>
  <c r="D64" s="1"/>
  <c r="D68"/>
  <c r="D67" s="1"/>
  <c r="D72"/>
  <c r="D71" s="1"/>
  <c r="D75"/>
  <c r="D74" s="1"/>
  <c r="D83"/>
  <c r="D85"/>
  <c r="D87"/>
  <c r="D90"/>
  <c r="D89" s="1"/>
  <c r="D93"/>
  <c r="D92" s="1"/>
  <c r="D102"/>
  <c r="D104"/>
  <c r="D107"/>
  <c r="D109"/>
  <c r="D113"/>
  <c r="D112" s="1"/>
  <c r="D116"/>
  <c r="D118"/>
  <c r="D122"/>
  <c r="D121" s="1"/>
  <c r="D125"/>
  <c r="D127"/>
  <c r="D130"/>
  <c r="D129" s="1"/>
  <c r="D142"/>
  <c r="D141" s="1"/>
  <c r="D177"/>
  <c r="D152" s="1"/>
  <c r="E177"/>
  <c r="E152" s="1"/>
  <c r="F177"/>
  <c r="F152" s="1"/>
  <c r="D180"/>
  <c r="E180"/>
  <c r="F180"/>
  <c r="D182"/>
  <c r="E182"/>
  <c r="F182"/>
  <c r="E186"/>
  <c r="F186"/>
  <c r="E188"/>
  <c r="F188"/>
  <c r="D190"/>
  <c r="E190"/>
  <c r="F190"/>
  <c r="E194"/>
  <c r="F194"/>
  <c r="D196"/>
  <c r="E196"/>
  <c r="F196"/>
  <c r="E199"/>
  <c r="E198" s="1"/>
  <c r="F199"/>
  <c r="F198" s="1"/>
  <c r="D199"/>
  <c r="D198" s="1"/>
  <c r="F179" l="1"/>
  <c r="D179"/>
  <c r="E179"/>
  <c r="D21"/>
  <c r="D20" s="1"/>
  <c r="D70"/>
  <c r="D63"/>
  <c r="D59" s="1"/>
  <c r="D115"/>
  <c r="D111" s="1"/>
  <c r="F19"/>
  <c r="D106"/>
  <c r="D101" s="1"/>
  <c r="D100" s="1"/>
  <c r="D43"/>
  <c r="D42" s="1"/>
  <c r="D78"/>
  <c r="D77" s="1"/>
  <c r="D124"/>
  <c r="D120" s="1"/>
  <c r="E19"/>
  <c r="F146" l="1"/>
  <c r="E146"/>
  <c r="D19"/>
  <c r="D146"/>
  <c r="D145" s="1"/>
  <c r="E145" l="1"/>
  <c r="E204" s="1"/>
  <c r="F145"/>
  <c r="F204" s="1"/>
  <c r="D204"/>
</calcChain>
</file>

<file path=xl/sharedStrings.xml><?xml version="1.0" encoding="utf-8"?>
<sst xmlns="http://schemas.openxmlformats.org/spreadsheetml/2006/main" count="389" uniqueCount="379">
  <si>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</si>
  <si>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</si>
  <si>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</si>
  <si>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</si>
  <si>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</si>
  <si>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</si>
  <si>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</si>
  <si>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</si>
  <si>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</si>
  <si>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</si>
  <si>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</si>
  <si>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</si>
  <si>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</si>
  <si>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</si>
  <si>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</si>
  <si>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</si>
  <si>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</si>
  <si>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</si>
  <si>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</si>
  <si>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</si>
  <si>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</si>
  <si>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</si>
  <si>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</si>
  <si>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</si>
  <si>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</si>
  <si>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</si>
  <si>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</si>
  <si>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</si>
  <si>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</si>
  <si>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</si>
  <si>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</si>
  <si>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</si>
  <si>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</si>
  <si>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</si>
  <si>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</si>
  <si>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</si>
  <si>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</si>
  <si>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</si>
  <si>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</si>
  <si>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</si>
  <si>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</si>
  <si>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</si>
  <si>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</si>
  <si>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</si>
  <si>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</si>
  <si>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</si>
  <si>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</si>
  <si>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</si>
  <si>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</si>
  <si>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</si>
  <si>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</si>
  <si>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</si>
  <si>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</si>
  <si>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</si>
  <si>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</si>
  <si>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</si>
  <si>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</si>
  <si>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</si>
  <si>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</si>
  <si>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</si>
  <si>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</si>
  <si>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</si>
  <si>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</si>
  <si>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</si>
  <si>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</si>
  <si>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</si>
  <si>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</si>
  <si>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</si>
  <si>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</si>
  <si>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</si>
  <si>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</si>
  <si>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</si>
  <si>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</si>
  <si>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</si>
  <si>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</si>
  <si>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</si>
  <si>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</si>
  <si>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</si>
  <si>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</si>
  <si>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</si>
  <si>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</si>
  <si>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</si>
  <si>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</si>
  <si>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</si>
  <si>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</si>
  <si>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</si>
  <si>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</si>
  <si>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</si>
  <si>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</si>
  <si>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</si>
  <si>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</si>
  <si>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</si>
  <si>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</si>
  <si>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</si>
  <si>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</si>
  <si>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</si>
  <si>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</si>
  <si>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</si>
  <si>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</si>
  <si>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</si>
  <si>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</si>
  <si>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</si>
  <si>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</si>
  <si>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</si>
  <si>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</si>
  <si>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</si>
  <si>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</si>
  <si>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</si>
  <si>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</si>
  <si>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</si>
  <si>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</si>
  <si>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</si>
  <si>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</si>
  <si>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</si>
  <si>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</si>
  <si>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</si>
  <si>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</si>
  <si>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</si>
  <si>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</si>
  <si>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</si>
  <si>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</si>
  <si>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</si>
  <si>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</si>
  <si>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</si>
  <si>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</si>
  <si>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</si>
  <si>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</si>
  <si>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</si>
  <si>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</si>
  <si>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</si>
  <si>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</si>
  <si>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</si>
  <si>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</si>
  <si>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</si>
  <si>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</si>
  <si>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</si>
  <si>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</si>
  <si>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</si>
  <si>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</si>
  <si>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</si>
  <si>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</si>
  <si>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</si>
  <si>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</si>
  <si>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</si>
  <si>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</si>
  <si>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</si>
  <si>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</si>
  <si>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</si>
  <si>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</si>
  <si>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</si>
  <si>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</si>
  <si>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</si>
  <si>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</si>
  <si>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</si>
  <si>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</si>
  <si>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</si>
  <si>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</si>
  <si>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</si>
  <si>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</si>
  <si>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</si>
  <si>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</si>
  <si>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</si>
  <si>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</si>
  <si>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</si>
  <si>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</si>
  <si>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</si>
  <si>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</si>
  <si>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</si>
  <si>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</si>
  <si>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</si>
  <si>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</si>
  <si>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</si>
  <si>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</si>
  <si>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</si>
  <si>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</si>
  <si>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</si>
  <si>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</si>
  <si>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</si>
  <si>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</si>
  <si>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</si>
  <si>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</si>
  <si>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</si>
  <si>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</si>
  <si>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</si>
  <si>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</si>
  <si>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</si>
  <si>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</si>
  <si>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</si>
  <si>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</si>
  <si>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</si>
  <si>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</si>
  <si>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</si>
  <si>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</si>
  <si>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</si>
  <si>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</si>
  <si>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</si>
  <si>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</si>
  <si>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</si>
  <si>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</si>
  <si>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</si>
  <si>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</si>
  <si>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</si>
  <si>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</si>
  <si>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</si>
  <si>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</si>
  <si>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</si>
  <si>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</si>
  <si>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</si>
  <si>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</si>
  <si>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</si>
  <si>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</si>
  <si>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</si>
  <si>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</si>
  <si>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</si>
  <si>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</si>
  <si>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</si>
  <si>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</si>
  <si>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</si>
  <si>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</si>
  <si>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</si>
  <si>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</si>
  <si>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</si>
  <si>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</si>
  <si>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</si>
  <si>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</si>
  <si>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</si>
  <si>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</si>
  <si>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</si>
  <si>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</si>
  <si>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</si>
  <si>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</si>
  <si>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</si>
  <si>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</si>
  <si>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</si>
  <si>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</si>
  <si>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</si>
  <si>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</si>
  <si>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</si>
  <si>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</si>
  <si>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</si>
  <si>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</si>
  <si>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</si>
  <si>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</si>
  <si>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</si>
  <si>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</si>
  <si>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</si>
  <si>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</si>
  <si>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</si>
  <si>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</si>
  <si>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</si>
  <si>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</si>
  <si>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</si>
  <si>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</si>
  <si>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</si>
  <si>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</si>
  <si>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</si>
  <si>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</si>
  <si>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</si>
  <si>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</si>
  <si>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</si>
  <si>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</si>
  <si>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</si>
  <si>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</si>
  <si>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</si>
  <si>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</si>
  <si>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</si>
  <si>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</si>
  <si>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</si>
  <si>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</si>
  <si>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</si>
  <si>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</si>
  <si>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</si>
  <si>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</si>
  <si>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</si>
  <si>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</si>
  <si>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</si>
  <si>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</si>
  <si>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</si>
  <si>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</si>
  <si>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</si>
  <si>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</si>
  <si>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</si>
  <si>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</si>
  <si>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</si>
  <si>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</si>
  <si>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</si>
  <si>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</si>
  <si>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</si>
  <si>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</si>
  <si>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</si>
  <si>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</si>
  <si>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</si>
  <si>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</si>
  <si>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</si>
  <si>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</si>
  <si>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</si>
  <si>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</si>
  <si>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</si>
  <si>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</si>
  <si>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</si>
  <si>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</si>
  <si>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</si>
  <si>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</si>
  <si>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</si>
  <si>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</si>
  <si>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</si>
  <si>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</si>
  <si>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</si>
  <si>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</si>
  <si>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</si>
  <si>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</si>
  <si>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</si>
  <si>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</si>
  <si>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</si>
  <si>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</si>
  <si>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</si>
  <si>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</si>
  <si>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</si>
  <si>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</si>
  <si>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</si>
  <si>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</si>
  <si>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</si>
  <si>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</si>
  <si>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</si>
  <si>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</si>
  <si>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</si>
  <si>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</si>
  <si>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</si>
  <si>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</si>
  <si>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</si>
  <si>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</si>
  <si>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</si>
  <si>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</si>
  <si>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</si>
  <si>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</si>
  <si>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</si>
  <si>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</si>
  <si>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</si>
  <si>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</si>
  <si>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</si>
  <si>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</si>
  <si>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</si>
  <si>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</si>
  <si>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</si>
  <si>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</si>
  <si>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</si>
  <si>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</si>
  <si>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</si>
  <si>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</si>
  <si>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</si>
  <si>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</si>
  <si>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</si>
  <si>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</si>
  <si>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</si>
  <si>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</si>
  <si>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</si>
  <si>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</si>
  <si>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</si>
  <si>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</si>
  <si>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1 01 02080 01 0000 110</t>
  </si>
  <si>
    <t xml:space="preserve">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</si>
  <si>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</si>
  <si>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</si>
  <si>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</si>
  <si>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</si>
  <si>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</si>
  <si>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</si>
  <si>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</si>
  <si>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1 16 01 157 01 0000 140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</si>
  <si>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</si>
  <si>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</si>
  <si>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</si>
  <si>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</si>
  <si>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</si>
  <si>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</si>
  <si>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</si>
  <si>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</si>
  <si>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</si>
  <si>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 "  "  декабря 2021  года №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</si>
</sst>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  <numFmt numFmtId="169" formatCode="[&gt;=50]#,##0.000000,;[Red][&lt;=-50]\-#,##0.000000,;#,##0.000000,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4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" fontId="29" fillId="2" borderId="0" xfId="0" applyNumberFormat="1" applyFont="1" applyFill="1"/>
    <xf numFmtId="4" fontId="25" fillId="0" borderId="0" xfId="0" applyNumberFormat="1" applyFont="1"/>
    <xf numFmtId="4" fontId="27" fillId="29" borderId="0" xfId="0" applyNumberFormat="1" applyFont="1" applyFill="1"/>
    <xf numFmtId="4" fontId="27" fillId="2" borderId="0" xfId="0" applyNumberFormat="1" applyFont="1" applyFill="1"/>
    <xf numFmtId="49" fontId="24" fillId="0" borderId="1" xfId="0" applyNumberFormat="1" applyFont="1" applyBorder="1" applyAlignment="1">
      <alignment horizontal="left" vertical="center" wrapText="1"/>
    </xf>
    <xf numFmtId="168" fontId="25" fillId="0" borderId="0" xfId="0" applyNumberFormat="1" applyFont="1"/>
    <xf numFmtId="167" fontId="28" fillId="30" borderId="1" xfId="0" applyNumberFormat="1" applyFont="1" applyFill="1" applyBorder="1" applyAlignment="1">
      <alignment horizontal="right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9" fontId="28" fillId="27" borderId="1" xfId="0" applyNumberFormat="1" applyFont="1" applyFill="1" applyBorder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166" fontId="29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I204"/>
  <sheetViews>
    <sheetView tabSelected="1" zoomScale="90" zoomScaleNormal="90" zoomScaleSheetLayoutView="100" workbookViewId="0">
      <selection activeCell="D6" sqref="D6"/>
    </sheetView>
  </sheetViews>
  <sheetFormatPr defaultColWidth="9.140625" defaultRowHeight="12.75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7" width="11.7109375" style="8" hidden="1" customWidth="1"/>
    <col min="8" max="8" width="9.140625" style="6"/>
    <col min="9" max="9" width="11.85546875" style="6" bestFit="1" customWidth="1"/>
    <col min="10" max="16384" width="9.140625" style="6"/>
  </cols>
  <sheetData>
    <row r="1" spans="2:7" s="35" customFormat="1">
      <c r="B1" s="36"/>
      <c r="C1" s="37"/>
      <c r="D1" s="53" t="s">
        <v>25</v>
      </c>
      <c r="E1" s="53"/>
      <c r="F1" s="53"/>
      <c r="G1" s="38"/>
    </row>
    <row r="2" spans="2:7" s="35" customFormat="1">
      <c r="B2" s="36"/>
      <c r="C2" s="37"/>
      <c r="D2" s="53" t="s">
        <v>0</v>
      </c>
      <c r="E2" s="53"/>
      <c r="F2" s="53"/>
      <c r="G2" s="38"/>
    </row>
    <row r="3" spans="2:7" s="35" customFormat="1">
      <c r="B3" s="36"/>
      <c r="C3" s="37"/>
      <c r="D3" s="53" t="s">
        <v>1</v>
      </c>
      <c r="E3" s="53"/>
      <c r="F3" s="53"/>
      <c r="G3" s="38"/>
    </row>
    <row r="4" spans="2:7" s="35" customFormat="1">
      <c r="B4" s="36"/>
      <c r="C4" s="37"/>
      <c r="D4" s="53" t="s">
        <v>116</v>
      </c>
      <c r="E4" s="53"/>
      <c r="F4" s="53"/>
      <c r="G4" s="38"/>
    </row>
    <row r="5" spans="2:7" s="35" customFormat="1">
      <c r="B5" s="36"/>
      <c r="C5" s="37"/>
      <c r="D5" s="53" t="s">
        <v>378</v>
      </c>
      <c r="E5" s="53"/>
      <c r="F5" s="53"/>
      <c r="G5" s="38"/>
    </row>
    <row r="7" spans="2:7">
      <c r="C7" s="47" t="s">
        <v>25</v>
      </c>
      <c r="D7" s="47"/>
      <c r="E7" s="47"/>
      <c r="F7" s="47"/>
    </row>
    <row r="8" spans="2:7">
      <c r="C8" s="47" t="s">
        <v>0</v>
      </c>
      <c r="D8" s="47"/>
      <c r="E8" s="47"/>
      <c r="F8" s="47"/>
    </row>
    <row r="9" spans="2:7">
      <c r="C9" s="47" t="s">
        <v>1</v>
      </c>
      <c r="D9" s="47"/>
      <c r="E9" s="47"/>
      <c r="F9" s="47"/>
    </row>
    <row r="10" spans="2:7">
      <c r="C10" s="47" t="s">
        <v>116</v>
      </c>
      <c r="D10" s="47"/>
      <c r="E10" s="47"/>
      <c r="F10" s="47"/>
    </row>
    <row r="11" spans="2:7">
      <c r="C11" s="47" t="s">
        <v>350</v>
      </c>
      <c r="D11" s="47"/>
      <c r="E11" s="47"/>
      <c r="F11" s="47"/>
    </row>
    <row r="12" spans="2:7" ht="14.25" customHeight="1">
      <c r="C12" s="7"/>
      <c r="D12" s="8"/>
      <c r="E12" s="8"/>
      <c r="F12" s="8"/>
    </row>
    <row r="13" spans="2:7" ht="18" customHeight="1">
      <c r="B13" s="52" t="s">
        <v>153</v>
      </c>
      <c r="C13" s="52"/>
      <c r="D13" s="52"/>
      <c r="E13" s="52"/>
      <c r="F13" s="52"/>
    </row>
    <row r="14" spans="2:7" ht="15.75">
      <c r="B14" s="9"/>
      <c r="C14" s="10"/>
      <c r="D14" s="8"/>
      <c r="E14" s="8"/>
      <c r="F14" s="8"/>
    </row>
    <row r="15" spans="2:7" ht="15.75" customHeight="1">
      <c r="B15" s="11" t="s">
        <v>2</v>
      </c>
      <c r="D15" s="8"/>
      <c r="E15" s="8"/>
      <c r="F15" s="8"/>
    </row>
    <row r="16" spans="2:7" s="33" customFormat="1" ht="15" customHeight="1">
      <c r="B16" s="50" t="s">
        <v>26</v>
      </c>
      <c r="C16" s="50" t="s">
        <v>27</v>
      </c>
      <c r="D16" s="51" t="s">
        <v>154</v>
      </c>
      <c r="E16" s="50" t="s">
        <v>3</v>
      </c>
      <c r="F16" s="50"/>
      <c r="G16" s="39"/>
    </row>
    <row r="17" spans="2:9" s="33" customFormat="1" ht="15" customHeight="1">
      <c r="B17" s="50"/>
      <c r="C17" s="50"/>
      <c r="D17" s="51"/>
      <c r="E17" s="13" t="s">
        <v>28</v>
      </c>
      <c r="F17" s="13" t="s">
        <v>155</v>
      </c>
      <c r="G17" s="39"/>
    </row>
    <row r="18" spans="2:9" s="33" customFormat="1" ht="15" customHeight="1">
      <c r="B18" s="14">
        <v>1</v>
      </c>
      <c r="C18" s="14">
        <v>2</v>
      </c>
      <c r="D18" s="14">
        <v>3</v>
      </c>
      <c r="E18" s="14">
        <v>4</v>
      </c>
      <c r="F18" s="14">
        <v>5</v>
      </c>
      <c r="G18" s="39"/>
    </row>
    <row r="19" spans="2:9" s="33" customFormat="1" ht="15" customHeight="1">
      <c r="B19" s="15" t="s">
        <v>227</v>
      </c>
      <c r="C19" s="16" t="s">
        <v>29</v>
      </c>
      <c r="D19" s="17">
        <f>D20+D32+D42+D59+D70+D77+D100+D111+D120+D132+D141</f>
        <v>1872168000</v>
      </c>
      <c r="E19" s="17">
        <f>E20+E32+E42+E59+E70+E77+E100+E111+E120+E132+E141</f>
        <v>1942244000</v>
      </c>
      <c r="F19" s="17">
        <f>F20+F32+F42+F59+F70+F77+F100+F111+F120+F132+F141</f>
        <v>1924503000</v>
      </c>
      <c r="G19" s="39"/>
      <c r="I19" s="43"/>
    </row>
    <row r="20" spans="2:9" s="33" customFormat="1" ht="15" customHeight="1">
      <c r="B20" s="18" t="s">
        <v>228</v>
      </c>
      <c r="C20" s="19" t="s">
        <v>4</v>
      </c>
      <c r="D20" s="20">
        <f>D21</f>
        <v>1003871000</v>
      </c>
      <c r="E20" s="20">
        <f t="shared" ref="E20:F20" si="0">E21</f>
        <v>901368000</v>
      </c>
      <c r="F20" s="20">
        <f t="shared" si="0"/>
        <v>862002000</v>
      </c>
      <c r="G20" s="39"/>
    </row>
    <row r="21" spans="2:9" s="33" customFormat="1" ht="15" customHeight="1">
      <c r="B21" s="21" t="s">
        <v>229</v>
      </c>
      <c r="C21" s="22" t="s">
        <v>5</v>
      </c>
      <c r="D21" s="23">
        <f>D22+D24+D26+D28+D30</f>
        <v>1003871000</v>
      </c>
      <c r="E21" s="23">
        <f t="shared" ref="E21:F21" si="1">E22+E24+E26+E28</f>
        <v>901368000</v>
      </c>
      <c r="F21" s="23">
        <f t="shared" si="1"/>
        <v>862002000</v>
      </c>
      <c r="G21" s="39"/>
    </row>
    <row r="22" spans="2:9" s="33" customFormat="1" ht="90">
      <c r="B22" s="1" t="s">
        <v>200</v>
      </c>
      <c r="C22" s="2" t="s">
        <v>30</v>
      </c>
      <c r="D22" s="3">
        <f>D23</f>
        <v>922039000</v>
      </c>
      <c r="E22" s="3">
        <f t="shared" ref="E22:F22" si="2">E23</f>
        <v>861193000</v>
      </c>
      <c r="F22" s="3">
        <f t="shared" si="2"/>
        <v>824816000</v>
      </c>
      <c r="G22" s="39"/>
    </row>
    <row r="23" spans="2:9" s="33" customFormat="1" ht="135">
      <c r="B23" s="1" t="s">
        <v>201</v>
      </c>
      <c r="C23" s="2" t="s">
        <v>31</v>
      </c>
      <c r="D23" s="3">
        <f>906675000+1993000+13371000</f>
        <v>922039000</v>
      </c>
      <c r="E23" s="3">
        <v>861193000</v>
      </c>
      <c r="F23" s="3">
        <v>824816000</v>
      </c>
      <c r="G23" s="39">
        <f>D23/(15+30.6)*30.6</f>
        <v>618736697.36842108</v>
      </c>
    </row>
    <row r="24" spans="2:9" s="33" customFormat="1" ht="135">
      <c r="B24" s="1" t="s">
        <v>202</v>
      </c>
      <c r="C24" s="2" t="s">
        <v>32</v>
      </c>
      <c r="D24" s="3">
        <f>D25</f>
        <v>9020000</v>
      </c>
      <c r="E24" s="3">
        <f t="shared" ref="E24:F24" si="3">E25</f>
        <v>8500000</v>
      </c>
      <c r="F24" s="3">
        <f t="shared" si="3"/>
        <v>8000000</v>
      </c>
      <c r="G24" s="39"/>
    </row>
    <row r="25" spans="2:9" s="33" customFormat="1" ht="180">
      <c r="B25" s="1" t="s">
        <v>203</v>
      </c>
      <c r="C25" s="2" t="s">
        <v>33</v>
      </c>
      <c r="D25" s="3">
        <f>9000000+20000</f>
        <v>9020000</v>
      </c>
      <c r="E25" s="3">
        <v>8500000</v>
      </c>
      <c r="F25" s="4">
        <v>8000000</v>
      </c>
      <c r="G25" s="39">
        <f>D25/(15+30.6)*30.6</f>
        <v>6052894.7368421052</v>
      </c>
    </row>
    <row r="26" spans="2:9" s="33" customFormat="1" ht="60">
      <c r="B26" s="1" t="s">
        <v>204</v>
      </c>
      <c r="C26" s="2" t="s">
        <v>34</v>
      </c>
      <c r="D26" s="3">
        <f>D27</f>
        <v>9020000</v>
      </c>
      <c r="E26" s="3">
        <f t="shared" ref="E26:F26" si="4">E27</f>
        <v>8500000</v>
      </c>
      <c r="F26" s="3">
        <f t="shared" si="4"/>
        <v>8000000</v>
      </c>
      <c r="G26" s="39"/>
    </row>
    <row r="27" spans="2:9" s="33" customFormat="1" ht="90">
      <c r="B27" s="1" t="s">
        <v>205</v>
      </c>
      <c r="C27" s="2" t="s">
        <v>35</v>
      </c>
      <c r="D27" s="3">
        <f>9000000+20000</f>
        <v>9020000</v>
      </c>
      <c r="E27" s="3">
        <v>8500000</v>
      </c>
      <c r="F27" s="4">
        <v>8000000</v>
      </c>
      <c r="G27" s="39">
        <f>D27/(15+30.6)*30.6</f>
        <v>6052894.7368421052</v>
      </c>
    </row>
    <row r="28" spans="2:9" s="33" customFormat="1" ht="105">
      <c r="B28" s="1" t="s">
        <v>206</v>
      </c>
      <c r="C28" s="2" t="s">
        <v>36</v>
      </c>
      <c r="D28" s="3">
        <f>D29</f>
        <v>25460000</v>
      </c>
      <c r="E28" s="3">
        <f t="shared" ref="E28:F28" si="5">E29</f>
        <v>23175000</v>
      </c>
      <c r="F28" s="4">
        <f t="shared" si="5"/>
        <v>21186000</v>
      </c>
      <c r="G28" s="39"/>
    </row>
    <row r="29" spans="2:9" s="33" customFormat="1" ht="150">
      <c r="B29" s="1" t="s">
        <v>207</v>
      </c>
      <c r="C29" s="2" t="s">
        <v>37</v>
      </c>
      <c r="D29" s="3">
        <f>25377000+83000</f>
        <v>25460000</v>
      </c>
      <c r="E29" s="3">
        <v>23175000</v>
      </c>
      <c r="F29" s="3">
        <v>21186000</v>
      </c>
      <c r="G29" s="39">
        <f>D29/(30.6)*30.6</f>
        <v>25460000</v>
      </c>
    </row>
    <row r="30" spans="2:9" s="33" customFormat="1" ht="105">
      <c r="B30" s="1" t="s">
        <v>359</v>
      </c>
      <c r="C30" s="2" t="s">
        <v>357</v>
      </c>
      <c r="D30" s="3">
        <f>D31</f>
        <v>38332000</v>
      </c>
      <c r="E30" s="3"/>
      <c r="F30" s="3"/>
      <c r="G30" s="39"/>
    </row>
    <row r="31" spans="2:9" s="33" customFormat="1" ht="105">
      <c r="B31" s="1" t="s">
        <v>358</v>
      </c>
      <c r="C31" s="2" t="s">
        <v>357</v>
      </c>
      <c r="D31" s="3">
        <v>38332000</v>
      </c>
      <c r="E31" s="3"/>
      <c r="F31" s="3"/>
      <c r="G31" s="39">
        <f>D31/(9+30.6)*30.6</f>
        <v>29620181.818181816</v>
      </c>
    </row>
    <row r="32" spans="2:9" s="33" customFormat="1" ht="57">
      <c r="B32" s="18" t="s">
        <v>230</v>
      </c>
      <c r="C32" s="19" t="s">
        <v>38</v>
      </c>
      <c r="D32" s="20">
        <f>D33</f>
        <v>99350000</v>
      </c>
      <c r="E32" s="20">
        <f t="shared" ref="E32:F32" si="6">E33</f>
        <v>95539000</v>
      </c>
      <c r="F32" s="20">
        <f t="shared" si="6"/>
        <v>94775000</v>
      </c>
      <c r="G32" s="39"/>
    </row>
    <row r="33" spans="2:7" s="33" customFormat="1" ht="42.75">
      <c r="B33" s="21" t="s">
        <v>208</v>
      </c>
      <c r="C33" s="22" t="s">
        <v>39</v>
      </c>
      <c r="D33" s="23">
        <f>D34+D36+D38+D40</f>
        <v>99350000</v>
      </c>
      <c r="E33" s="23">
        <f t="shared" ref="E33:F33" si="7">E34+E36+E38+E40</f>
        <v>95539000</v>
      </c>
      <c r="F33" s="23">
        <f t="shared" si="7"/>
        <v>94775000</v>
      </c>
      <c r="G33" s="39"/>
    </row>
    <row r="34" spans="2:7" s="33" customFormat="1" ht="90">
      <c r="B34" s="1" t="s">
        <v>209</v>
      </c>
      <c r="C34" s="2" t="s">
        <v>40</v>
      </c>
      <c r="D34" s="3">
        <f>D35</f>
        <v>45618000</v>
      </c>
      <c r="E34" s="3">
        <f t="shared" ref="E34:F34" si="8">E35</f>
        <v>43921000</v>
      </c>
      <c r="F34" s="3">
        <f t="shared" si="8"/>
        <v>43879000</v>
      </c>
      <c r="G34" s="39"/>
    </row>
    <row r="35" spans="2:7" s="33" customFormat="1" ht="150">
      <c r="B35" s="1" t="s">
        <v>210</v>
      </c>
      <c r="C35" s="2" t="s">
        <v>41</v>
      </c>
      <c r="D35" s="3">
        <v>45618000</v>
      </c>
      <c r="E35" s="3">
        <v>43921000</v>
      </c>
      <c r="F35" s="4">
        <v>43879000</v>
      </c>
      <c r="G35" s="39"/>
    </row>
    <row r="36" spans="2:7" s="33" customFormat="1" ht="105">
      <c r="B36" s="1" t="s">
        <v>211</v>
      </c>
      <c r="C36" s="2" t="s">
        <v>42</v>
      </c>
      <c r="D36" s="3">
        <f t="shared" ref="D36:F38" si="9">D37</f>
        <v>260000</v>
      </c>
      <c r="E36" s="3">
        <f t="shared" si="9"/>
        <v>248000</v>
      </c>
      <c r="F36" s="3">
        <f t="shared" si="9"/>
        <v>245000</v>
      </c>
      <c r="G36" s="39"/>
    </row>
    <row r="37" spans="2:7" s="33" customFormat="1" ht="165">
      <c r="B37" s="1" t="s">
        <v>212</v>
      </c>
      <c r="C37" s="2" t="s">
        <v>43</v>
      </c>
      <c r="D37" s="3">
        <v>260000</v>
      </c>
      <c r="E37" s="3">
        <v>248000</v>
      </c>
      <c r="F37" s="4">
        <v>245000</v>
      </c>
      <c r="G37" s="39"/>
    </row>
    <row r="38" spans="2:7" s="33" customFormat="1" ht="90">
      <c r="B38" s="1" t="s">
        <v>213</v>
      </c>
      <c r="C38" s="2" t="s">
        <v>44</v>
      </c>
      <c r="D38" s="3">
        <f t="shared" si="9"/>
        <v>60008000</v>
      </c>
      <c r="E38" s="3">
        <f t="shared" si="9"/>
        <v>57627000</v>
      </c>
      <c r="F38" s="3">
        <f t="shared" si="9"/>
        <v>57387000</v>
      </c>
      <c r="G38" s="39"/>
    </row>
    <row r="39" spans="2:7" s="33" customFormat="1" ht="150">
      <c r="B39" s="1" t="s">
        <v>214</v>
      </c>
      <c r="C39" s="2" t="s">
        <v>45</v>
      </c>
      <c r="D39" s="3">
        <v>60008000</v>
      </c>
      <c r="E39" s="3">
        <v>57627000</v>
      </c>
      <c r="F39" s="4">
        <v>57387000</v>
      </c>
      <c r="G39" s="39"/>
    </row>
    <row r="40" spans="2:7" s="33" customFormat="1" ht="90">
      <c r="B40" s="1" t="s">
        <v>215</v>
      </c>
      <c r="C40" s="2" t="s">
        <v>46</v>
      </c>
      <c r="D40" s="3">
        <f>D41</f>
        <v>-6536000</v>
      </c>
      <c r="E40" s="3">
        <f t="shared" ref="E40:F40" si="10">E41</f>
        <v>-6257000</v>
      </c>
      <c r="F40" s="3">
        <f t="shared" si="10"/>
        <v>-6736000</v>
      </c>
      <c r="G40" s="39"/>
    </row>
    <row r="41" spans="2:7" s="33" customFormat="1" ht="150">
      <c r="B41" s="1" t="s">
        <v>216</v>
      </c>
      <c r="C41" s="2" t="s">
        <v>47</v>
      </c>
      <c r="D41" s="3">
        <v>-6536000</v>
      </c>
      <c r="E41" s="3">
        <v>-6257000</v>
      </c>
      <c r="F41" s="4">
        <v>-6736000</v>
      </c>
      <c r="G41" s="39"/>
    </row>
    <row r="42" spans="2:7" s="33" customFormat="1" ht="14.25">
      <c r="B42" s="18" t="s">
        <v>231</v>
      </c>
      <c r="C42" s="19" t="s">
        <v>6</v>
      </c>
      <c r="D42" s="20">
        <f>D43+D50+D53+D56</f>
        <v>176193000</v>
      </c>
      <c r="E42" s="20">
        <f t="shared" ref="E42:F42" si="11">E43+E50+E53+E56</f>
        <v>167674000</v>
      </c>
      <c r="F42" s="20">
        <f t="shared" si="11"/>
        <v>176009000</v>
      </c>
      <c r="G42" s="39"/>
    </row>
    <row r="43" spans="2:7" s="33" customFormat="1" ht="28.5">
      <c r="B43" s="21" t="s">
        <v>232</v>
      </c>
      <c r="C43" s="22" t="s">
        <v>7</v>
      </c>
      <c r="D43" s="23">
        <f>D44+D47</f>
        <v>134339000</v>
      </c>
      <c r="E43" s="23">
        <f t="shared" ref="E43:F43" si="12">E44+E47</f>
        <v>132982000</v>
      </c>
      <c r="F43" s="23">
        <f t="shared" si="12"/>
        <v>139632000</v>
      </c>
      <c r="G43" s="39"/>
    </row>
    <row r="44" spans="2:7" s="33" customFormat="1" ht="45">
      <c r="B44" s="1" t="s">
        <v>233</v>
      </c>
      <c r="C44" s="2" t="s">
        <v>48</v>
      </c>
      <c r="D44" s="3">
        <f>D45</f>
        <v>108339000</v>
      </c>
      <c r="E44" s="3">
        <f t="shared" ref="E44:F45" si="13">E45</f>
        <v>111429000</v>
      </c>
      <c r="F44" s="3">
        <f t="shared" si="13"/>
        <v>117000000</v>
      </c>
      <c r="G44" s="39"/>
    </row>
    <row r="45" spans="2:7" s="33" customFormat="1" ht="45">
      <c r="B45" s="1" t="s">
        <v>234</v>
      </c>
      <c r="C45" s="2" t="s">
        <v>48</v>
      </c>
      <c r="D45" s="3">
        <f>D46</f>
        <v>108339000</v>
      </c>
      <c r="E45" s="3">
        <f t="shared" si="13"/>
        <v>111429000</v>
      </c>
      <c r="F45" s="3">
        <f t="shared" si="13"/>
        <v>117000000</v>
      </c>
      <c r="G45" s="39"/>
    </row>
    <row r="46" spans="2:7" s="33" customFormat="1" ht="75">
      <c r="B46" s="1" t="s">
        <v>235</v>
      </c>
      <c r="C46" s="2" t="s">
        <v>49</v>
      </c>
      <c r="D46" s="3">
        <f>105122000+5652000-2435000</f>
        <v>108339000</v>
      </c>
      <c r="E46" s="3">
        <v>111429000</v>
      </c>
      <c r="F46" s="4">
        <v>117000000</v>
      </c>
      <c r="G46" s="39"/>
    </row>
    <row r="47" spans="2:7" s="33" customFormat="1" ht="57" customHeight="1">
      <c r="B47" s="1" t="s">
        <v>236</v>
      </c>
      <c r="C47" s="2" t="s">
        <v>50</v>
      </c>
      <c r="D47" s="3">
        <f>D48</f>
        <v>26000000</v>
      </c>
      <c r="E47" s="3">
        <f t="shared" ref="E47:F48" si="14">E48</f>
        <v>21553000</v>
      </c>
      <c r="F47" s="3">
        <f t="shared" si="14"/>
        <v>22632000</v>
      </c>
      <c r="G47" s="39"/>
    </row>
    <row r="48" spans="2:7" s="33" customFormat="1" ht="75">
      <c r="B48" s="1" t="s">
        <v>237</v>
      </c>
      <c r="C48" s="2" t="s">
        <v>51</v>
      </c>
      <c r="D48" s="3">
        <f>D49</f>
        <v>26000000</v>
      </c>
      <c r="E48" s="3">
        <f t="shared" si="14"/>
        <v>21553000</v>
      </c>
      <c r="F48" s="3">
        <f t="shared" si="14"/>
        <v>22632000</v>
      </c>
      <c r="G48" s="39"/>
    </row>
    <row r="49" spans="2:7" s="33" customFormat="1" ht="120">
      <c r="B49" s="1" t="s">
        <v>238</v>
      </c>
      <c r="C49" s="2" t="s">
        <v>52</v>
      </c>
      <c r="D49" s="3">
        <f>20333000+5667000</f>
        <v>26000000</v>
      </c>
      <c r="E49" s="3">
        <v>21553000</v>
      </c>
      <c r="F49" s="4">
        <v>22632000</v>
      </c>
      <c r="G49" s="39"/>
    </row>
    <row r="50" spans="2:7" s="33" customFormat="1" ht="28.5">
      <c r="B50" s="21" t="s">
        <v>239</v>
      </c>
      <c r="C50" s="22" t="s">
        <v>8</v>
      </c>
      <c r="D50" s="23">
        <f>D51</f>
        <v>6200000</v>
      </c>
      <c r="E50" s="23">
        <f t="shared" ref="E50:F51" si="15">E51</f>
        <v>0</v>
      </c>
      <c r="F50" s="23">
        <f t="shared" si="15"/>
        <v>0</v>
      </c>
      <c r="G50" s="39"/>
    </row>
    <row r="51" spans="2:7" s="33" customFormat="1" ht="30">
      <c r="B51" s="1" t="s">
        <v>240</v>
      </c>
      <c r="C51" s="2" t="s">
        <v>8</v>
      </c>
      <c r="D51" s="3">
        <f>D52</f>
        <v>6200000</v>
      </c>
      <c r="E51" s="3">
        <f t="shared" si="15"/>
        <v>0</v>
      </c>
      <c r="F51" s="3">
        <f t="shared" si="15"/>
        <v>0</v>
      </c>
      <c r="G51" s="39"/>
    </row>
    <row r="52" spans="2:7" s="33" customFormat="1" ht="75">
      <c r="B52" s="1" t="s">
        <v>241</v>
      </c>
      <c r="C52" s="2" t="s">
        <v>53</v>
      </c>
      <c r="D52" s="3">
        <f>7258000-1058000</f>
        <v>6200000</v>
      </c>
      <c r="E52" s="3"/>
      <c r="F52" s="4"/>
      <c r="G52" s="39"/>
    </row>
    <row r="53" spans="2:7" s="33" customFormat="1" ht="14.25">
      <c r="B53" s="21" t="s">
        <v>242</v>
      </c>
      <c r="C53" s="22" t="s">
        <v>9</v>
      </c>
      <c r="D53" s="23">
        <f>D54</f>
        <v>16000</v>
      </c>
      <c r="E53" s="23">
        <f t="shared" ref="E53:F54" si="16">E54</f>
        <v>1000000</v>
      </c>
      <c r="F53" s="23">
        <f t="shared" si="16"/>
        <v>1000000</v>
      </c>
      <c r="G53" s="39"/>
    </row>
    <row r="54" spans="2:7" s="33" customFormat="1" ht="15">
      <c r="B54" s="1" t="s">
        <v>243</v>
      </c>
      <c r="C54" s="2" t="s">
        <v>9</v>
      </c>
      <c r="D54" s="3">
        <f>D55</f>
        <v>16000</v>
      </c>
      <c r="E54" s="3">
        <f t="shared" si="16"/>
        <v>1000000</v>
      </c>
      <c r="F54" s="3">
        <f t="shared" si="16"/>
        <v>1000000</v>
      </c>
      <c r="G54" s="39"/>
    </row>
    <row r="55" spans="2:7" s="33" customFormat="1" ht="60">
      <c r="B55" s="1" t="s">
        <v>244</v>
      </c>
      <c r="C55" s="2" t="s">
        <v>54</v>
      </c>
      <c r="D55" s="3">
        <f>0+16000</f>
        <v>16000</v>
      </c>
      <c r="E55" s="3">
        <v>1000000</v>
      </c>
      <c r="F55" s="4">
        <v>1000000</v>
      </c>
      <c r="G55" s="39"/>
    </row>
    <row r="56" spans="2:7" s="33" customFormat="1" ht="28.5">
      <c r="B56" s="21" t="s">
        <v>245</v>
      </c>
      <c r="C56" s="22" t="s">
        <v>55</v>
      </c>
      <c r="D56" s="23">
        <f>D57</f>
        <v>35638000</v>
      </c>
      <c r="E56" s="23">
        <f t="shared" ref="E56:F57" si="17">E57</f>
        <v>33692000</v>
      </c>
      <c r="F56" s="23">
        <f t="shared" si="17"/>
        <v>35377000</v>
      </c>
      <c r="G56" s="39"/>
    </row>
    <row r="57" spans="2:7" s="33" customFormat="1" ht="45">
      <c r="B57" s="1" t="s">
        <v>246</v>
      </c>
      <c r="C57" s="2" t="s">
        <v>56</v>
      </c>
      <c r="D57" s="3">
        <f>D58</f>
        <v>35638000</v>
      </c>
      <c r="E57" s="3">
        <f t="shared" si="17"/>
        <v>33692000</v>
      </c>
      <c r="F57" s="3">
        <f t="shared" si="17"/>
        <v>35377000</v>
      </c>
      <c r="G57" s="39"/>
    </row>
    <row r="58" spans="2:7" s="33" customFormat="1" ht="90">
      <c r="B58" s="1" t="s">
        <v>247</v>
      </c>
      <c r="C58" s="2" t="s">
        <v>57</v>
      </c>
      <c r="D58" s="3">
        <f>31196000-2612000+7054000</f>
        <v>35638000</v>
      </c>
      <c r="E58" s="3">
        <v>33692000</v>
      </c>
      <c r="F58" s="4">
        <v>35377000</v>
      </c>
      <c r="G58" s="39"/>
    </row>
    <row r="59" spans="2:7" s="33" customFormat="1" ht="14.25">
      <c r="B59" s="18" t="s">
        <v>248</v>
      </c>
      <c r="C59" s="19" t="s">
        <v>10</v>
      </c>
      <c r="D59" s="20">
        <f>D60+D63</f>
        <v>394502000</v>
      </c>
      <c r="E59" s="20">
        <f t="shared" ref="E59:F59" si="18">E60+E63</f>
        <v>588125000</v>
      </c>
      <c r="F59" s="20">
        <f t="shared" si="18"/>
        <v>601660000</v>
      </c>
      <c r="G59" s="39"/>
    </row>
    <row r="60" spans="2:7" s="33" customFormat="1" ht="14.25">
      <c r="B60" s="21" t="s">
        <v>249</v>
      </c>
      <c r="C60" s="22" t="s">
        <v>58</v>
      </c>
      <c r="D60" s="23">
        <f>D61</f>
        <v>61315000</v>
      </c>
      <c r="E60" s="23">
        <f t="shared" ref="E60:F61" si="19">E61</f>
        <v>70896000</v>
      </c>
      <c r="F60" s="23">
        <f t="shared" si="19"/>
        <v>74440000</v>
      </c>
      <c r="G60" s="39"/>
    </row>
    <row r="61" spans="2:7" s="33" customFormat="1" ht="60">
      <c r="B61" s="1" t="s">
        <v>250</v>
      </c>
      <c r="C61" s="2" t="s">
        <v>11</v>
      </c>
      <c r="D61" s="3">
        <f>D62</f>
        <v>61315000</v>
      </c>
      <c r="E61" s="3">
        <f t="shared" si="19"/>
        <v>70896000</v>
      </c>
      <c r="F61" s="3">
        <f t="shared" si="19"/>
        <v>74440000</v>
      </c>
      <c r="G61" s="39"/>
    </row>
    <row r="62" spans="2:7" s="33" customFormat="1" ht="90">
      <c r="B62" s="1" t="s">
        <v>251</v>
      </c>
      <c r="C62" s="2" t="s">
        <v>59</v>
      </c>
      <c r="D62" s="3">
        <f>67520000-6205000</f>
        <v>61315000</v>
      </c>
      <c r="E62" s="3">
        <v>70896000</v>
      </c>
      <c r="F62" s="4">
        <v>74440000</v>
      </c>
      <c r="G62" s="39"/>
    </row>
    <row r="63" spans="2:7" s="33" customFormat="1" ht="14.25">
      <c r="B63" s="21" t="s">
        <v>252</v>
      </c>
      <c r="C63" s="22" t="s">
        <v>12</v>
      </c>
      <c r="D63" s="23">
        <f>D64+D67</f>
        <v>333187000</v>
      </c>
      <c r="E63" s="23">
        <f t="shared" ref="E63:F63" si="20">E64+E67</f>
        <v>517229000</v>
      </c>
      <c r="F63" s="23">
        <f t="shared" si="20"/>
        <v>527220000</v>
      </c>
      <c r="G63" s="39"/>
    </row>
    <row r="64" spans="2:7" s="33" customFormat="1" ht="15">
      <c r="B64" s="1" t="s">
        <v>253</v>
      </c>
      <c r="C64" s="2" t="s">
        <v>60</v>
      </c>
      <c r="D64" s="3">
        <f>D65</f>
        <v>203187000</v>
      </c>
      <c r="E64" s="3">
        <f t="shared" ref="E64:F65" si="21">E65</f>
        <v>353723000</v>
      </c>
      <c r="F64" s="3">
        <f t="shared" si="21"/>
        <v>357174000</v>
      </c>
      <c r="G64" s="39"/>
    </row>
    <row r="65" spans="2:7" s="33" customFormat="1" ht="45">
      <c r="B65" s="1" t="s">
        <v>254</v>
      </c>
      <c r="C65" s="2" t="s">
        <v>61</v>
      </c>
      <c r="D65" s="3">
        <f>D66</f>
        <v>203187000</v>
      </c>
      <c r="E65" s="3">
        <f t="shared" si="21"/>
        <v>353723000</v>
      </c>
      <c r="F65" s="3">
        <f t="shared" si="21"/>
        <v>357174000</v>
      </c>
      <c r="G65" s="39"/>
    </row>
    <row r="66" spans="2:7" s="33" customFormat="1" ht="75">
      <c r="B66" s="1" t="s">
        <v>255</v>
      </c>
      <c r="C66" s="2" t="s">
        <v>62</v>
      </c>
      <c r="D66" s="3">
        <f>351408000-148221000</f>
        <v>203187000</v>
      </c>
      <c r="E66" s="3">
        <v>353723000</v>
      </c>
      <c r="F66" s="4">
        <v>357174000</v>
      </c>
      <c r="G66" s="39"/>
    </row>
    <row r="67" spans="2:7" s="33" customFormat="1" ht="15">
      <c r="B67" s="1" t="s">
        <v>256</v>
      </c>
      <c r="C67" s="2" t="s">
        <v>63</v>
      </c>
      <c r="D67" s="3">
        <f>D68</f>
        <v>130000000</v>
      </c>
      <c r="E67" s="3">
        <f t="shared" ref="E67:F68" si="22">E68</f>
        <v>163506000</v>
      </c>
      <c r="F67" s="3">
        <f t="shared" si="22"/>
        <v>170046000</v>
      </c>
      <c r="G67" s="39"/>
    </row>
    <row r="68" spans="2:7" s="33" customFormat="1" ht="45">
      <c r="B68" s="1" t="s">
        <v>257</v>
      </c>
      <c r="C68" s="2" t="s">
        <v>64</v>
      </c>
      <c r="D68" s="3">
        <f>D69</f>
        <v>130000000</v>
      </c>
      <c r="E68" s="3">
        <f t="shared" si="22"/>
        <v>163506000</v>
      </c>
      <c r="F68" s="3">
        <f t="shared" si="22"/>
        <v>170046000</v>
      </c>
      <c r="G68" s="39"/>
    </row>
    <row r="69" spans="2:7" s="33" customFormat="1" ht="75">
      <c r="B69" s="1" t="s">
        <v>258</v>
      </c>
      <c r="C69" s="2" t="s">
        <v>65</v>
      </c>
      <c r="D69" s="3">
        <f>151394000-21394000</f>
        <v>130000000</v>
      </c>
      <c r="E69" s="3">
        <v>163506000</v>
      </c>
      <c r="F69" s="4">
        <v>170046000</v>
      </c>
      <c r="G69" s="39"/>
    </row>
    <row r="70" spans="2:7" s="33" customFormat="1" ht="14.25">
      <c r="B70" s="18" t="s">
        <v>259</v>
      </c>
      <c r="C70" s="19" t="s">
        <v>13</v>
      </c>
      <c r="D70" s="20">
        <f>D71+D74</f>
        <v>14515000</v>
      </c>
      <c r="E70" s="20">
        <f t="shared" ref="E70:F70" si="23">E71+E74</f>
        <v>15950000</v>
      </c>
      <c r="F70" s="20">
        <f t="shared" si="23"/>
        <v>16745000</v>
      </c>
      <c r="G70" s="39"/>
    </row>
    <row r="71" spans="2:7" s="33" customFormat="1" ht="42.75">
      <c r="B71" s="21" t="s">
        <v>260</v>
      </c>
      <c r="C71" s="22" t="s">
        <v>66</v>
      </c>
      <c r="D71" s="23">
        <f>D72</f>
        <v>14455000</v>
      </c>
      <c r="E71" s="23">
        <f t="shared" ref="E71:F72" si="24">E72</f>
        <v>15900000</v>
      </c>
      <c r="F71" s="23">
        <f t="shared" si="24"/>
        <v>16695000</v>
      </c>
      <c r="G71" s="39"/>
    </row>
    <row r="72" spans="2:7" s="33" customFormat="1" ht="60">
      <c r="B72" s="1" t="s">
        <v>261</v>
      </c>
      <c r="C72" s="2" t="s">
        <v>67</v>
      </c>
      <c r="D72" s="3">
        <f>D73</f>
        <v>14455000</v>
      </c>
      <c r="E72" s="3">
        <f t="shared" si="24"/>
        <v>15900000</v>
      </c>
      <c r="F72" s="3">
        <f t="shared" si="24"/>
        <v>16695000</v>
      </c>
      <c r="G72" s="39"/>
    </row>
    <row r="73" spans="2:7" s="33" customFormat="1" ht="78" customHeight="1">
      <c r="B73" s="1" t="s">
        <v>330</v>
      </c>
      <c r="C73" s="2" t="s">
        <v>331</v>
      </c>
      <c r="D73" s="3">
        <v>14455000</v>
      </c>
      <c r="E73" s="3">
        <v>15900000</v>
      </c>
      <c r="F73" s="4">
        <v>16695000</v>
      </c>
      <c r="G73" s="39"/>
    </row>
    <row r="74" spans="2:7" s="33" customFormat="1" ht="57">
      <c r="B74" s="21" t="s">
        <v>262</v>
      </c>
      <c r="C74" s="22" t="s">
        <v>68</v>
      </c>
      <c r="D74" s="23">
        <f>D75</f>
        <v>60000</v>
      </c>
      <c r="E74" s="23">
        <f t="shared" ref="E74:F75" si="25">E75</f>
        <v>50000</v>
      </c>
      <c r="F74" s="23">
        <f t="shared" si="25"/>
        <v>50000</v>
      </c>
      <c r="G74" s="39"/>
    </row>
    <row r="75" spans="2:7" s="33" customFormat="1" ht="30">
      <c r="B75" s="1" t="s">
        <v>263</v>
      </c>
      <c r="C75" s="2" t="s">
        <v>14</v>
      </c>
      <c r="D75" s="3">
        <f>D76</f>
        <v>60000</v>
      </c>
      <c r="E75" s="3">
        <f t="shared" si="25"/>
        <v>50000</v>
      </c>
      <c r="F75" s="3">
        <f t="shared" si="25"/>
        <v>50000</v>
      </c>
      <c r="G75" s="39"/>
    </row>
    <row r="76" spans="2:7" s="33" customFormat="1" ht="30">
      <c r="B76" s="1" t="s">
        <v>264</v>
      </c>
      <c r="C76" s="2" t="s">
        <v>14</v>
      </c>
      <c r="D76" s="3">
        <v>60000</v>
      </c>
      <c r="E76" s="3">
        <v>50000</v>
      </c>
      <c r="F76" s="4">
        <v>50000</v>
      </c>
      <c r="G76" s="39"/>
    </row>
    <row r="77" spans="2:7" s="33" customFormat="1" ht="57">
      <c r="B77" s="18" t="s">
        <v>265</v>
      </c>
      <c r="C77" s="19" t="s">
        <v>15</v>
      </c>
      <c r="D77" s="20">
        <f>D78+D89+D92</f>
        <v>133688000</v>
      </c>
      <c r="E77" s="20">
        <f t="shared" ref="E77:F77" si="26">E78+E89+E92</f>
        <v>145535000</v>
      </c>
      <c r="F77" s="20">
        <f t="shared" si="26"/>
        <v>145835000</v>
      </c>
      <c r="G77" s="39"/>
    </row>
    <row r="78" spans="2:7" s="33" customFormat="1" ht="128.25">
      <c r="B78" s="21" t="s">
        <v>266</v>
      </c>
      <c r="C78" s="22" t="s">
        <v>69</v>
      </c>
      <c r="D78" s="23">
        <f>D79+D83+D85+D87</f>
        <v>117235000</v>
      </c>
      <c r="E78" s="23">
        <f t="shared" ref="E78:F78" si="27">E79+E83+E85+E87</f>
        <v>124600000</v>
      </c>
      <c r="F78" s="23">
        <f t="shared" si="27"/>
        <v>124600000</v>
      </c>
      <c r="G78" s="39"/>
    </row>
    <row r="79" spans="2:7" s="33" customFormat="1" ht="75">
      <c r="B79" s="1" t="s">
        <v>267</v>
      </c>
      <c r="C79" s="2" t="s">
        <v>70</v>
      </c>
      <c r="D79" s="3">
        <f>D80+D81+D82</f>
        <v>99735000</v>
      </c>
      <c r="E79" s="3">
        <f t="shared" ref="E79:F79" si="28">E80+E81+E82</f>
        <v>107100000</v>
      </c>
      <c r="F79" s="3">
        <f t="shared" si="28"/>
        <v>107100000</v>
      </c>
      <c r="G79" s="39"/>
    </row>
    <row r="80" spans="2:7" s="33" customFormat="1" ht="105">
      <c r="B80" s="1" t="s">
        <v>268</v>
      </c>
      <c r="C80" s="2" t="s">
        <v>71</v>
      </c>
      <c r="D80" s="3">
        <f>100000000-9765000</f>
        <v>90235000</v>
      </c>
      <c r="E80" s="3">
        <v>100000000</v>
      </c>
      <c r="F80" s="3">
        <v>100000000</v>
      </c>
      <c r="G80" s="39"/>
    </row>
    <row r="81" spans="2:7" s="33" customFormat="1" ht="90" customHeight="1">
      <c r="B81" s="1" t="s">
        <v>332</v>
      </c>
      <c r="C81" s="2" t="s">
        <v>333</v>
      </c>
      <c r="D81" s="3">
        <v>7000000</v>
      </c>
      <c r="E81" s="3">
        <v>7000000</v>
      </c>
      <c r="F81" s="3">
        <v>7000000</v>
      </c>
      <c r="G81" s="39"/>
    </row>
    <row r="82" spans="2:7" s="33" customFormat="1" ht="75">
      <c r="B82" s="1" t="s">
        <v>334</v>
      </c>
      <c r="C82" s="2" t="s">
        <v>335</v>
      </c>
      <c r="D82" s="3">
        <f>100000+2400000</f>
        <v>2500000</v>
      </c>
      <c r="E82" s="3">
        <v>100000</v>
      </c>
      <c r="F82" s="3">
        <v>100000</v>
      </c>
      <c r="G82" s="39"/>
    </row>
    <row r="83" spans="2:7" s="33" customFormat="1" ht="105">
      <c r="B83" s="1" t="s">
        <v>269</v>
      </c>
      <c r="C83" s="2" t="s">
        <v>72</v>
      </c>
      <c r="D83" s="3">
        <f>D84</f>
        <v>6000000</v>
      </c>
      <c r="E83" s="3">
        <f>E84</f>
        <v>6000000</v>
      </c>
      <c r="F83" s="3">
        <f>F84</f>
        <v>6000000</v>
      </c>
      <c r="G83" s="39"/>
    </row>
    <row r="84" spans="2:7" s="33" customFormat="1" ht="90">
      <c r="B84" s="1" t="s">
        <v>270</v>
      </c>
      <c r="C84" s="2" t="s">
        <v>73</v>
      </c>
      <c r="D84" s="3">
        <v>6000000</v>
      </c>
      <c r="E84" s="3">
        <v>6000000</v>
      </c>
      <c r="F84" s="4">
        <v>6000000</v>
      </c>
      <c r="G84" s="39"/>
    </row>
    <row r="85" spans="2:7" s="33" customFormat="1" ht="105">
      <c r="B85" s="1" t="s">
        <v>271</v>
      </c>
      <c r="C85" s="2" t="s">
        <v>74</v>
      </c>
      <c r="D85" s="3">
        <f>D86</f>
        <v>500000</v>
      </c>
      <c r="E85" s="3">
        <f t="shared" ref="E85:F85" si="29">E86</f>
        <v>500000</v>
      </c>
      <c r="F85" s="3">
        <f t="shared" si="29"/>
        <v>500000</v>
      </c>
      <c r="G85" s="39"/>
    </row>
    <row r="86" spans="2:7" s="33" customFormat="1" ht="90">
      <c r="B86" s="1" t="s">
        <v>272</v>
      </c>
      <c r="C86" s="2" t="s">
        <v>75</v>
      </c>
      <c r="D86" s="3">
        <v>500000</v>
      </c>
      <c r="E86" s="3">
        <v>500000</v>
      </c>
      <c r="F86" s="4">
        <v>500000</v>
      </c>
      <c r="G86" s="39"/>
    </row>
    <row r="87" spans="2:7" s="33" customFormat="1" ht="60">
      <c r="B87" s="1" t="s">
        <v>273</v>
      </c>
      <c r="C87" s="2" t="s">
        <v>76</v>
      </c>
      <c r="D87" s="3">
        <f>D88</f>
        <v>11000000</v>
      </c>
      <c r="E87" s="3">
        <f t="shared" ref="E87:F87" si="30">E88</f>
        <v>11000000</v>
      </c>
      <c r="F87" s="3">
        <f t="shared" si="30"/>
        <v>11000000</v>
      </c>
      <c r="G87" s="39"/>
    </row>
    <row r="88" spans="2:7" s="33" customFormat="1" ht="45">
      <c r="B88" s="1" t="s">
        <v>274</v>
      </c>
      <c r="C88" s="2" t="s">
        <v>16</v>
      </c>
      <c r="D88" s="3">
        <v>11000000</v>
      </c>
      <c r="E88" s="3">
        <v>11000000</v>
      </c>
      <c r="F88" s="4">
        <v>11000000</v>
      </c>
      <c r="G88" s="39"/>
    </row>
    <row r="89" spans="2:7" s="33" customFormat="1" ht="57">
      <c r="B89" s="21" t="s">
        <v>275</v>
      </c>
      <c r="C89" s="22" t="s">
        <v>77</v>
      </c>
      <c r="D89" s="23">
        <f>D90</f>
        <v>50000</v>
      </c>
      <c r="E89" s="23">
        <f t="shared" ref="E89:F90" si="31">E90</f>
        <v>50000</v>
      </c>
      <c r="F89" s="23">
        <f t="shared" si="31"/>
        <v>50000</v>
      </c>
      <c r="G89" s="39"/>
    </row>
    <row r="90" spans="2:7" s="33" customFormat="1" ht="60">
      <c r="B90" s="1" t="s">
        <v>276</v>
      </c>
      <c r="C90" s="2" t="s">
        <v>78</v>
      </c>
      <c r="D90" s="3">
        <f>D91</f>
        <v>50000</v>
      </c>
      <c r="E90" s="3">
        <f t="shared" si="31"/>
        <v>50000</v>
      </c>
      <c r="F90" s="3">
        <f t="shared" si="31"/>
        <v>50000</v>
      </c>
      <c r="G90" s="39"/>
    </row>
    <row r="91" spans="2:7" s="33" customFormat="1" ht="150">
      <c r="B91" s="1" t="s">
        <v>277</v>
      </c>
      <c r="C91" s="2" t="s">
        <v>79</v>
      </c>
      <c r="D91" s="3">
        <v>50000</v>
      </c>
      <c r="E91" s="3">
        <v>50000</v>
      </c>
      <c r="F91" s="4">
        <v>50000</v>
      </c>
      <c r="G91" s="39"/>
    </row>
    <row r="92" spans="2:7" s="33" customFormat="1" ht="114">
      <c r="B92" s="21" t="s">
        <v>278</v>
      </c>
      <c r="C92" s="22" t="s">
        <v>80</v>
      </c>
      <c r="D92" s="23">
        <f>D93+D96</f>
        <v>16403000</v>
      </c>
      <c r="E92" s="23">
        <f t="shared" ref="E92:F92" si="32">E93+E96</f>
        <v>20885000</v>
      </c>
      <c r="F92" s="23">
        <f t="shared" si="32"/>
        <v>21185000</v>
      </c>
      <c r="G92" s="39"/>
    </row>
    <row r="93" spans="2:7" s="33" customFormat="1" ht="90">
      <c r="B93" s="1" t="s">
        <v>279</v>
      </c>
      <c r="C93" s="2" t="s">
        <v>81</v>
      </c>
      <c r="D93" s="3">
        <f>D94</f>
        <v>11518000</v>
      </c>
      <c r="E93" s="3">
        <f t="shared" ref="E93:F94" si="33">E94</f>
        <v>15185000</v>
      </c>
      <c r="F93" s="3">
        <f t="shared" si="33"/>
        <v>15185000</v>
      </c>
      <c r="G93" s="39"/>
    </row>
    <row r="94" spans="2:7" s="33" customFormat="1" ht="90">
      <c r="B94" s="1" t="s">
        <v>280</v>
      </c>
      <c r="C94" s="2" t="s">
        <v>82</v>
      </c>
      <c r="D94" s="3">
        <f>D95</f>
        <v>11518000</v>
      </c>
      <c r="E94" s="3">
        <f t="shared" si="33"/>
        <v>15185000</v>
      </c>
      <c r="F94" s="3">
        <f t="shared" si="33"/>
        <v>15185000</v>
      </c>
      <c r="G94" s="39"/>
    </row>
    <row r="95" spans="2:7" s="33" customFormat="1" ht="15">
      <c r="B95" s="1" t="s">
        <v>281</v>
      </c>
      <c r="C95" s="2" t="s">
        <v>83</v>
      </c>
      <c r="D95" s="3">
        <f>15185000-3667000</f>
        <v>11518000</v>
      </c>
      <c r="E95" s="3">
        <v>15185000</v>
      </c>
      <c r="F95" s="4">
        <v>15185000</v>
      </c>
      <c r="G95" s="39"/>
    </row>
    <row r="96" spans="2:7" s="33" customFormat="1" ht="135">
      <c r="B96" s="1" t="s">
        <v>282</v>
      </c>
      <c r="C96" s="2" t="s">
        <v>156</v>
      </c>
      <c r="D96" s="3">
        <f>D97</f>
        <v>4885000</v>
      </c>
      <c r="E96" s="3">
        <f t="shared" ref="E96:F96" si="34">E97</f>
        <v>5700000</v>
      </c>
      <c r="F96" s="3">
        <f t="shared" si="34"/>
        <v>6000000</v>
      </c>
      <c r="G96" s="39"/>
    </row>
    <row r="97" spans="2:7" s="33" customFormat="1" ht="120">
      <c r="B97" s="1" t="s">
        <v>283</v>
      </c>
      <c r="C97" s="2" t="s">
        <v>157</v>
      </c>
      <c r="D97" s="3">
        <f>D98+D99</f>
        <v>4885000</v>
      </c>
      <c r="E97" s="3">
        <f t="shared" ref="E97:F97" si="35">E98+E99</f>
        <v>5700000</v>
      </c>
      <c r="F97" s="3">
        <f t="shared" si="35"/>
        <v>6000000</v>
      </c>
      <c r="G97" s="39"/>
    </row>
    <row r="98" spans="2:7" s="33" customFormat="1" ht="105">
      <c r="B98" s="1" t="s">
        <v>284</v>
      </c>
      <c r="C98" s="2" t="s">
        <v>159</v>
      </c>
      <c r="D98" s="3">
        <v>2400000</v>
      </c>
      <c r="E98" s="3">
        <v>2700000</v>
      </c>
      <c r="F98" s="4">
        <v>3000000</v>
      </c>
      <c r="G98" s="39"/>
    </row>
    <row r="99" spans="2:7" s="33" customFormat="1" ht="105">
      <c r="B99" s="1" t="s">
        <v>285</v>
      </c>
      <c r="C99" s="2" t="s">
        <v>158</v>
      </c>
      <c r="D99" s="3">
        <f>2485000</f>
        <v>2485000</v>
      </c>
      <c r="E99" s="3">
        <v>3000000</v>
      </c>
      <c r="F99" s="4">
        <v>3000000</v>
      </c>
      <c r="G99" s="39"/>
    </row>
    <row r="100" spans="2:7" s="33" customFormat="1" ht="28.5">
      <c r="B100" s="18" t="s">
        <v>286</v>
      </c>
      <c r="C100" s="19" t="s">
        <v>17</v>
      </c>
      <c r="D100" s="20">
        <f>D101</f>
        <v>1686000</v>
      </c>
      <c r="E100" s="20">
        <f t="shared" ref="E100:F100" si="36">E101</f>
        <v>1740000</v>
      </c>
      <c r="F100" s="20">
        <f t="shared" si="36"/>
        <v>1795000</v>
      </c>
      <c r="G100" s="39"/>
    </row>
    <row r="101" spans="2:7" s="33" customFormat="1" ht="28.5">
      <c r="B101" s="21" t="s">
        <v>287</v>
      </c>
      <c r="C101" s="22" t="s">
        <v>18</v>
      </c>
      <c r="D101" s="23">
        <f>D102+D104+D106</f>
        <v>1686000</v>
      </c>
      <c r="E101" s="23">
        <f t="shared" ref="E101:F101" si="37">E102+E104+E106</f>
        <v>1740000</v>
      </c>
      <c r="F101" s="23">
        <f t="shared" si="37"/>
        <v>1795000</v>
      </c>
      <c r="G101" s="39"/>
    </row>
    <row r="102" spans="2:7" s="33" customFormat="1" ht="30">
      <c r="B102" s="1" t="s">
        <v>288</v>
      </c>
      <c r="C102" s="2" t="s">
        <v>84</v>
      </c>
      <c r="D102" s="3">
        <f>D103</f>
        <v>321000</v>
      </c>
      <c r="E102" s="3">
        <f t="shared" ref="E102:F102" si="38">E103</f>
        <v>331000</v>
      </c>
      <c r="F102" s="3">
        <f t="shared" si="38"/>
        <v>342000</v>
      </c>
      <c r="G102" s="39"/>
    </row>
    <row r="103" spans="2:7" s="33" customFormat="1" ht="75">
      <c r="B103" s="1" t="s">
        <v>289</v>
      </c>
      <c r="C103" s="2" t="s">
        <v>85</v>
      </c>
      <c r="D103" s="3">
        <v>321000</v>
      </c>
      <c r="E103" s="3">
        <v>331000</v>
      </c>
      <c r="F103" s="4">
        <v>342000</v>
      </c>
      <c r="G103" s="39"/>
    </row>
    <row r="104" spans="2:7" s="33" customFormat="1" ht="30">
      <c r="B104" s="1" t="s">
        <v>290</v>
      </c>
      <c r="C104" s="2" t="s">
        <v>86</v>
      </c>
      <c r="D104" s="3">
        <f>D105</f>
        <v>607000</v>
      </c>
      <c r="E104" s="3">
        <f t="shared" ref="E104:F104" si="39">E105</f>
        <v>626000</v>
      </c>
      <c r="F104" s="3">
        <f t="shared" si="39"/>
        <v>646000</v>
      </c>
      <c r="G104" s="39"/>
    </row>
    <row r="105" spans="2:7" s="33" customFormat="1" ht="75">
      <c r="B105" s="1" t="s">
        <v>291</v>
      </c>
      <c r="C105" s="2" t="s">
        <v>87</v>
      </c>
      <c r="D105" s="3">
        <v>607000</v>
      </c>
      <c r="E105" s="3">
        <v>626000</v>
      </c>
      <c r="F105" s="4">
        <v>646000</v>
      </c>
      <c r="G105" s="39"/>
    </row>
    <row r="106" spans="2:7" s="33" customFormat="1" ht="30">
      <c r="B106" s="1" t="s">
        <v>217</v>
      </c>
      <c r="C106" s="2" t="s">
        <v>88</v>
      </c>
      <c r="D106" s="3">
        <f>D107+D109</f>
        <v>758000</v>
      </c>
      <c r="E106" s="3">
        <f t="shared" ref="E106:F106" si="40">E107+E109</f>
        <v>783000</v>
      </c>
      <c r="F106" s="3">
        <f t="shared" si="40"/>
        <v>807000</v>
      </c>
      <c r="G106" s="39"/>
    </row>
    <row r="107" spans="2:7" s="33" customFormat="1" ht="15">
      <c r="B107" s="1" t="s">
        <v>218</v>
      </c>
      <c r="C107" s="2" t="s">
        <v>89</v>
      </c>
      <c r="D107" s="3">
        <f>D108</f>
        <v>758000</v>
      </c>
      <c r="E107" s="3">
        <f t="shared" ref="E107:F107" si="41">E108</f>
        <v>783000</v>
      </c>
      <c r="F107" s="3">
        <f t="shared" si="41"/>
        <v>807000</v>
      </c>
      <c r="G107" s="39"/>
    </row>
    <row r="108" spans="2:7" s="33" customFormat="1" ht="60">
      <c r="B108" s="1" t="s">
        <v>219</v>
      </c>
      <c r="C108" s="2" t="s">
        <v>90</v>
      </c>
      <c r="D108" s="3">
        <v>758000</v>
      </c>
      <c r="E108" s="3">
        <v>783000</v>
      </c>
      <c r="F108" s="4">
        <v>807000</v>
      </c>
      <c r="G108" s="39"/>
    </row>
    <row r="109" spans="2:7" s="33" customFormat="1" ht="30">
      <c r="B109" s="1" t="s">
        <v>220</v>
      </c>
      <c r="C109" s="2" t="s">
        <v>91</v>
      </c>
      <c r="D109" s="3">
        <f>D110</f>
        <v>0</v>
      </c>
      <c r="E109" s="3">
        <f t="shared" ref="E109:F109" si="42">E110</f>
        <v>0</v>
      </c>
      <c r="F109" s="3">
        <f t="shared" si="42"/>
        <v>0</v>
      </c>
      <c r="G109" s="39"/>
    </row>
    <row r="110" spans="2:7" s="33" customFormat="1" ht="75">
      <c r="B110" s="1" t="s">
        <v>221</v>
      </c>
      <c r="C110" s="2" t="s">
        <v>92</v>
      </c>
      <c r="D110" s="3">
        <v>0</v>
      </c>
      <c r="E110" s="3">
        <v>0</v>
      </c>
      <c r="F110" s="4">
        <v>0</v>
      </c>
      <c r="G110" s="39"/>
    </row>
    <row r="111" spans="2:7" s="33" customFormat="1" ht="42.75">
      <c r="B111" s="18" t="s">
        <v>222</v>
      </c>
      <c r="C111" s="19" t="s">
        <v>93</v>
      </c>
      <c r="D111" s="20">
        <f>D112+D115</f>
        <v>3120000</v>
      </c>
      <c r="E111" s="20">
        <f t="shared" ref="E111:F111" si="43">E112+E115</f>
        <v>3121000</v>
      </c>
      <c r="F111" s="20">
        <f t="shared" si="43"/>
        <v>3122000</v>
      </c>
      <c r="G111" s="39"/>
    </row>
    <row r="112" spans="2:7" s="33" customFormat="1" ht="14.25">
      <c r="B112" s="21" t="s">
        <v>292</v>
      </c>
      <c r="C112" s="22" t="s">
        <v>94</v>
      </c>
      <c r="D112" s="23">
        <f>D113</f>
        <v>3100000</v>
      </c>
      <c r="E112" s="23">
        <f t="shared" ref="E112:F113" si="44">E113</f>
        <v>3100000</v>
      </c>
      <c r="F112" s="23">
        <f t="shared" si="44"/>
        <v>3100000</v>
      </c>
      <c r="G112" s="39"/>
    </row>
    <row r="113" spans="2:7" s="33" customFormat="1" ht="15">
      <c r="B113" s="1" t="s">
        <v>293</v>
      </c>
      <c r="C113" s="2" t="s">
        <v>95</v>
      </c>
      <c r="D113" s="3">
        <f>D114</f>
        <v>3100000</v>
      </c>
      <c r="E113" s="3">
        <f t="shared" si="44"/>
        <v>3100000</v>
      </c>
      <c r="F113" s="3">
        <f t="shared" si="44"/>
        <v>3100000</v>
      </c>
      <c r="G113" s="39"/>
    </row>
    <row r="114" spans="2:7" s="33" customFormat="1" ht="45">
      <c r="B114" s="1" t="s">
        <v>294</v>
      </c>
      <c r="C114" s="2" t="s">
        <v>19</v>
      </c>
      <c r="D114" s="3">
        <v>3100000</v>
      </c>
      <c r="E114" s="3">
        <v>3100000</v>
      </c>
      <c r="F114" s="4">
        <v>3100000</v>
      </c>
      <c r="G114" s="39"/>
    </row>
    <row r="115" spans="2:7" s="33" customFormat="1" ht="14.25">
      <c r="B115" s="21" t="s">
        <v>295</v>
      </c>
      <c r="C115" s="22" t="s">
        <v>96</v>
      </c>
      <c r="D115" s="23">
        <f>D116+D118</f>
        <v>20000</v>
      </c>
      <c r="E115" s="23">
        <f t="shared" ref="E115:F115" si="45">E116+E118</f>
        <v>21000</v>
      </c>
      <c r="F115" s="23">
        <f t="shared" si="45"/>
        <v>22000</v>
      </c>
      <c r="G115" s="39"/>
    </row>
    <row r="116" spans="2:7" s="33" customFormat="1" ht="45">
      <c r="B116" s="1" t="s">
        <v>296</v>
      </c>
      <c r="C116" s="2" t="s">
        <v>97</v>
      </c>
      <c r="D116" s="3">
        <f>D117</f>
        <v>20000</v>
      </c>
      <c r="E116" s="3">
        <f t="shared" ref="E116:F116" si="46">E117</f>
        <v>21000</v>
      </c>
      <c r="F116" s="3">
        <f t="shared" si="46"/>
        <v>22000</v>
      </c>
      <c r="G116" s="39"/>
    </row>
    <row r="117" spans="2:7" s="33" customFormat="1" ht="45">
      <c r="B117" s="1" t="s">
        <v>297</v>
      </c>
      <c r="C117" s="2" t="s">
        <v>20</v>
      </c>
      <c r="D117" s="3">
        <v>20000</v>
      </c>
      <c r="E117" s="3">
        <v>21000</v>
      </c>
      <c r="F117" s="4">
        <v>22000</v>
      </c>
      <c r="G117" s="39"/>
    </row>
    <row r="118" spans="2:7" s="33" customFormat="1" ht="15">
      <c r="B118" s="1" t="s">
        <v>298</v>
      </c>
      <c r="C118" s="2" t="s">
        <v>144</v>
      </c>
      <c r="D118" s="3">
        <f>D119</f>
        <v>0</v>
      </c>
      <c r="E118" s="3">
        <f t="shared" ref="E118:F118" si="47">E119</f>
        <v>0</v>
      </c>
      <c r="F118" s="3">
        <f t="shared" si="47"/>
        <v>0</v>
      </c>
      <c r="G118" s="39"/>
    </row>
    <row r="119" spans="2:7" s="33" customFormat="1" ht="30">
      <c r="B119" s="1" t="s">
        <v>299</v>
      </c>
      <c r="C119" s="2" t="s">
        <v>145</v>
      </c>
      <c r="D119" s="3"/>
      <c r="E119" s="3"/>
      <c r="F119" s="4"/>
      <c r="G119" s="39"/>
    </row>
    <row r="120" spans="2:7" s="33" customFormat="1" ht="28.5">
      <c r="B120" s="18" t="s">
        <v>300</v>
      </c>
      <c r="C120" s="19" t="s">
        <v>21</v>
      </c>
      <c r="D120" s="20">
        <f>D121+D124+D129</f>
        <v>27000000</v>
      </c>
      <c r="E120" s="20">
        <f t="shared" ref="E120:F120" si="48">E121+E124+E129</f>
        <v>22692000</v>
      </c>
      <c r="F120" s="20">
        <f t="shared" si="48"/>
        <v>22060000</v>
      </c>
      <c r="G120" s="39"/>
    </row>
    <row r="121" spans="2:7" s="33" customFormat="1" ht="114">
      <c r="B121" s="21" t="s">
        <v>301</v>
      </c>
      <c r="C121" s="22" t="s">
        <v>98</v>
      </c>
      <c r="D121" s="23">
        <f>D122</f>
        <v>4000000</v>
      </c>
      <c r="E121" s="23">
        <f t="shared" ref="E121:F122" si="49">E122</f>
        <v>1692000</v>
      </c>
      <c r="F121" s="23">
        <f t="shared" si="49"/>
        <v>1060000</v>
      </c>
      <c r="G121" s="39"/>
    </row>
    <row r="122" spans="2:7" s="33" customFormat="1" ht="120">
      <c r="B122" s="1" t="s">
        <v>302</v>
      </c>
      <c r="C122" s="2" t="s">
        <v>99</v>
      </c>
      <c r="D122" s="3">
        <f>D123</f>
        <v>4000000</v>
      </c>
      <c r="E122" s="3">
        <f t="shared" si="49"/>
        <v>1692000</v>
      </c>
      <c r="F122" s="3">
        <f t="shared" si="49"/>
        <v>1060000</v>
      </c>
      <c r="G122" s="39"/>
    </row>
    <row r="123" spans="2:7" s="33" customFormat="1" ht="120">
      <c r="B123" s="1" t="s">
        <v>303</v>
      </c>
      <c r="C123" s="2" t="s">
        <v>22</v>
      </c>
      <c r="D123" s="3">
        <f>2048000+1952000</f>
        <v>4000000</v>
      </c>
      <c r="E123" s="3">
        <v>1692000</v>
      </c>
      <c r="F123" s="4">
        <v>1060000</v>
      </c>
      <c r="G123" s="39"/>
    </row>
    <row r="124" spans="2:7" s="33" customFormat="1" ht="42.75">
      <c r="B124" s="21" t="s">
        <v>304</v>
      </c>
      <c r="C124" s="22" t="s">
        <v>100</v>
      </c>
      <c r="D124" s="23">
        <f>D125+D127</f>
        <v>16000000</v>
      </c>
      <c r="E124" s="23">
        <f t="shared" ref="E124:F124" si="50">E125+E127</f>
        <v>16000000</v>
      </c>
      <c r="F124" s="23">
        <f t="shared" si="50"/>
        <v>16000000</v>
      </c>
      <c r="G124" s="39"/>
    </row>
    <row r="125" spans="2:7" s="33" customFormat="1" ht="45">
      <c r="B125" s="1" t="s">
        <v>305</v>
      </c>
      <c r="C125" s="2" t="s">
        <v>101</v>
      </c>
      <c r="D125" s="3">
        <f>D126</f>
        <v>13000000</v>
      </c>
      <c r="E125" s="3">
        <f t="shared" ref="E125:F125" si="51">E126</f>
        <v>13000000</v>
      </c>
      <c r="F125" s="3">
        <f t="shared" si="51"/>
        <v>13000000</v>
      </c>
      <c r="G125" s="39"/>
    </row>
    <row r="126" spans="2:7" s="33" customFormat="1" ht="60">
      <c r="B126" s="1" t="s">
        <v>306</v>
      </c>
      <c r="C126" s="2" t="s">
        <v>102</v>
      </c>
      <c r="D126" s="3">
        <v>13000000</v>
      </c>
      <c r="E126" s="3">
        <v>13000000</v>
      </c>
      <c r="F126" s="3">
        <v>13000000</v>
      </c>
      <c r="G126" s="39"/>
    </row>
    <row r="127" spans="2:7" s="33" customFormat="1" ht="60">
      <c r="B127" s="1" t="s">
        <v>307</v>
      </c>
      <c r="C127" s="2" t="s">
        <v>103</v>
      </c>
      <c r="D127" s="3">
        <f>D128</f>
        <v>3000000</v>
      </c>
      <c r="E127" s="3">
        <f t="shared" ref="E127:F127" si="52">E128</f>
        <v>3000000</v>
      </c>
      <c r="F127" s="3">
        <f t="shared" si="52"/>
        <v>3000000</v>
      </c>
      <c r="G127" s="39"/>
    </row>
    <row r="128" spans="2:7" s="33" customFormat="1" ht="75">
      <c r="B128" s="1" t="s">
        <v>308</v>
      </c>
      <c r="C128" s="2" t="s">
        <v>104</v>
      </c>
      <c r="D128" s="3">
        <v>3000000</v>
      </c>
      <c r="E128" s="3">
        <v>3000000</v>
      </c>
      <c r="F128" s="4">
        <v>3000000</v>
      </c>
      <c r="G128" s="39"/>
    </row>
    <row r="129" spans="2:7" s="33" customFormat="1" ht="99.75">
      <c r="B129" s="21" t="s">
        <v>309</v>
      </c>
      <c r="C129" s="22" t="s">
        <v>105</v>
      </c>
      <c r="D129" s="23">
        <f>D130</f>
        <v>7000000</v>
      </c>
      <c r="E129" s="23">
        <f t="shared" ref="E129:F130" si="53">E130</f>
        <v>5000000</v>
      </c>
      <c r="F129" s="23">
        <f t="shared" si="53"/>
        <v>5000000</v>
      </c>
      <c r="G129" s="39"/>
    </row>
    <row r="130" spans="2:7" s="33" customFormat="1" ht="90">
      <c r="B130" s="1" t="s">
        <v>310</v>
      </c>
      <c r="C130" s="2" t="s">
        <v>106</v>
      </c>
      <c r="D130" s="3">
        <f>D131</f>
        <v>7000000</v>
      </c>
      <c r="E130" s="3">
        <f t="shared" si="53"/>
        <v>5000000</v>
      </c>
      <c r="F130" s="3">
        <f t="shared" si="53"/>
        <v>5000000</v>
      </c>
      <c r="G130" s="39"/>
    </row>
    <row r="131" spans="2:7" s="33" customFormat="1" ht="105">
      <c r="B131" s="1" t="s">
        <v>311</v>
      </c>
      <c r="C131" s="2" t="s">
        <v>107</v>
      </c>
      <c r="D131" s="3">
        <f>5000000+2000000</f>
        <v>7000000</v>
      </c>
      <c r="E131" s="3">
        <v>5000000</v>
      </c>
      <c r="F131" s="4">
        <v>5000000</v>
      </c>
      <c r="G131" s="39"/>
    </row>
    <row r="132" spans="2:7" s="33" customFormat="1" ht="28.5">
      <c r="B132" s="18" t="s">
        <v>312</v>
      </c>
      <c r="C132" s="19" t="s">
        <v>150</v>
      </c>
      <c r="D132" s="20">
        <f>SUM(D133:D140)</f>
        <v>16913000</v>
      </c>
      <c r="E132" s="20">
        <f t="shared" ref="E132:F132" si="54">SUM(E133:E140)</f>
        <v>500000</v>
      </c>
      <c r="F132" s="20">
        <f t="shared" si="54"/>
        <v>500000</v>
      </c>
      <c r="G132" s="39"/>
    </row>
    <row r="133" spans="2:7" s="33" customFormat="1" ht="120">
      <c r="B133" s="1" t="s">
        <v>360</v>
      </c>
      <c r="C133" s="2" t="s">
        <v>361</v>
      </c>
      <c r="D133" s="3">
        <v>250000</v>
      </c>
      <c r="E133" s="3"/>
      <c r="F133" s="3"/>
      <c r="G133" s="39"/>
    </row>
    <row r="134" spans="2:7" s="33" customFormat="1" ht="105">
      <c r="B134" s="1" t="s">
        <v>313</v>
      </c>
      <c r="C134" s="2" t="s">
        <v>160</v>
      </c>
      <c r="D134" s="3">
        <v>200000</v>
      </c>
      <c r="E134" s="3">
        <v>200000</v>
      </c>
      <c r="F134" s="3">
        <v>200000</v>
      </c>
      <c r="G134" s="39"/>
    </row>
    <row r="135" spans="2:7" s="33" customFormat="1" ht="270">
      <c r="B135" s="1" t="s">
        <v>368</v>
      </c>
      <c r="C135" s="2" t="s">
        <v>369</v>
      </c>
      <c r="D135" s="3">
        <v>100000</v>
      </c>
      <c r="E135" s="3"/>
      <c r="F135" s="3"/>
      <c r="G135" s="39"/>
    </row>
    <row r="136" spans="2:7" s="33" customFormat="1" ht="240">
      <c r="B136" s="1" t="s">
        <v>362</v>
      </c>
      <c r="C136" s="2" t="s">
        <v>363</v>
      </c>
      <c r="D136" s="3">
        <v>1000000</v>
      </c>
      <c r="E136" s="3"/>
      <c r="F136" s="3"/>
      <c r="G136" s="39"/>
    </row>
    <row r="137" spans="2:7" s="33" customFormat="1" ht="120">
      <c r="B137" s="1" t="s">
        <v>364</v>
      </c>
      <c r="C137" s="2" t="s">
        <v>365</v>
      </c>
      <c r="D137" s="3">
        <v>450000</v>
      </c>
      <c r="E137" s="3"/>
      <c r="F137" s="3"/>
      <c r="G137" s="39"/>
    </row>
    <row r="138" spans="2:7" s="33" customFormat="1" ht="60">
      <c r="B138" s="1" t="s">
        <v>314</v>
      </c>
      <c r="C138" s="2" t="s">
        <v>161</v>
      </c>
      <c r="D138" s="3">
        <f>300000+50000+50000+50000</f>
        <v>450000</v>
      </c>
      <c r="E138" s="3">
        <v>300000</v>
      </c>
      <c r="F138" s="3">
        <v>300000</v>
      </c>
      <c r="G138" s="39"/>
    </row>
    <row r="139" spans="2:7" s="33" customFormat="1" ht="90">
      <c r="B139" s="1" t="s">
        <v>315</v>
      </c>
      <c r="C139" s="2" t="s">
        <v>151</v>
      </c>
      <c r="D139" s="3">
        <f>20382000+748000+2000000-8667000-748000</f>
        <v>13715000</v>
      </c>
      <c r="E139" s="3">
        <v>0</v>
      </c>
      <c r="F139" s="3">
        <v>0</v>
      </c>
      <c r="G139" s="39"/>
    </row>
    <row r="140" spans="2:7" s="33" customFormat="1" ht="150">
      <c r="B140" s="1" t="s">
        <v>366</v>
      </c>
      <c r="C140" s="2" t="s">
        <v>367</v>
      </c>
      <c r="D140" s="3">
        <v>748000</v>
      </c>
      <c r="E140" s="3"/>
      <c r="F140" s="3"/>
      <c r="G140" s="39"/>
    </row>
    <row r="141" spans="2:7" s="33" customFormat="1" ht="14.25">
      <c r="B141" s="18" t="s">
        <v>316</v>
      </c>
      <c r="C141" s="19" t="s">
        <v>23</v>
      </c>
      <c r="D141" s="20">
        <f>D142</f>
        <v>1330000</v>
      </c>
      <c r="E141" s="20">
        <f t="shared" ref="E141:F142" si="55">E142</f>
        <v>0</v>
      </c>
      <c r="F141" s="20">
        <f t="shared" si="55"/>
        <v>0</v>
      </c>
      <c r="G141" s="39"/>
    </row>
    <row r="142" spans="2:7" s="33" customFormat="1" ht="14.25">
      <c r="B142" s="21" t="s">
        <v>317</v>
      </c>
      <c r="C142" s="22" t="s">
        <v>108</v>
      </c>
      <c r="D142" s="23">
        <f>D143</f>
        <v>1330000</v>
      </c>
      <c r="E142" s="23">
        <f t="shared" si="55"/>
        <v>0</v>
      </c>
      <c r="F142" s="23">
        <f t="shared" si="55"/>
        <v>0</v>
      </c>
      <c r="G142" s="39"/>
    </row>
    <row r="143" spans="2:7" s="33" customFormat="1" ht="30">
      <c r="B143" s="1" t="s">
        <v>318</v>
      </c>
      <c r="C143" s="2" t="s">
        <v>109</v>
      </c>
      <c r="D143" s="3">
        <f>D144</f>
        <v>1330000</v>
      </c>
      <c r="E143" s="3">
        <f>E144</f>
        <v>0</v>
      </c>
      <c r="F143" s="3">
        <f>F144</f>
        <v>0</v>
      </c>
      <c r="G143" s="39"/>
    </row>
    <row r="144" spans="2:7" s="33" customFormat="1" ht="30">
      <c r="B144" s="1" t="s">
        <v>319</v>
      </c>
      <c r="C144" s="2" t="s">
        <v>110</v>
      </c>
      <c r="D144" s="3">
        <f>0+1330000</f>
        <v>1330000</v>
      </c>
      <c r="E144" s="3">
        <v>0</v>
      </c>
      <c r="F144" s="4">
        <v>0</v>
      </c>
      <c r="G144" s="39"/>
    </row>
    <row r="145" spans="1:7" s="33" customFormat="1" ht="14.25">
      <c r="B145" s="15" t="s">
        <v>320</v>
      </c>
      <c r="C145" s="16" t="s">
        <v>24</v>
      </c>
      <c r="D145" s="17">
        <f>D146+D201</f>
        <v>2065749552.6399999</v>
      </c>
      <c r="E145" s="17">
        <f>E146+E201</f>
        <v>2702344668.8400002</v>
      </c>
      <c r="F145" s="17">
        <f>F146+F201</f>
        <v>1460749791.99</v>
      </c>
      <c r="G145" s="39"/>
    </row>
    <row r="146" spans="1:7" s="33" customFormat="1" ht="42.75">
      <c r="B146" s="21" t="s">
        <v>321</v>
      </c>
      <c r="C146" s="22" t="s">
        <v>111</v>
      </c>
      <c r="D146" s="23">
        <f>D147+D152+D179+D198</f>
        <v>2065749552.6399999</v>
      </c>
      <c r="E146" s="23">
        <f>E147+E152+E179+E198</f>
        <v>2702344668.8400002</v>
      </c>
      <c r="F146" s="23">
        <f>F147+F152+F179+F198</f>
        <v>1460749791.99</v>
      </c>
      <c r="G146" s="39"/>
    </row>
    <row r="147" spans="1:7" ht="28.5">
      <c r="A147" s="33"/>
      <c r="B147" s="18" t="s">
        <v>322</v>
      </c>
      <c r="C147" s="19" t="s">
        <v>112</v>
      </c>
      <c r="D147" s="20">
        <f>D148+D150</f>
        <v>59889000</v>
      </c>
      <c r="E147" s="20">
        <f t="shared" ref="E147:F147" si="56">E148+E150</f>
        <v>1784000</v>
      </c>
      <c r="F147" s="20">
        <f t="shared" si="56"/>
        <v>1781000</v>
      </c>
    </row>
    <row r="148" spans="1:7" ht="30">
      <c r="A148" s="33"/>
      <c r="B148" s="1" t="s">
        <v>323</v>
      </c>
      <c r="C148" s="2" t="s">
        <v>113</v>
      </c>
      <c r="D148" s="3">
        <f>D149</f>
        <v>2017000</v>
      </c>
      <c r="E148" s="3">
        <f t="shared" ref="E148:F148" si="57">E149</f>
        <v>1784000</v>
      </c>
      <c r="F148" s="3">
        <f t="shared" si="57"/>
        <v>1781000</v>
      </c>
    </row>
    <row r="149" spans="1:7" ht="45">
      <c r="B149" s="1" t="s">
        <v>324</v>
      </c>
      <c r="C149" s="2" t="s">
        <v>114</v>
      </c>
      <c r="D149" s="3">
        <f>1521000+496000</f>
        <v>2017000</v>
      </c>
      <c r="E149" s="3">
        <v>1784000</v>
      </c>
      <c r="F149" s="4">
        <v>1781000</v>
      </c>
    </row>
    <row r="150" spans="1:7" ht="30">
      <c r="B150" s="42" t="s">
        <v>370</v>
      </c>
      <c r="C150" s="2" t="s">
        <v>372</v>
      </c>
      <c r="D150" s="3">
        <f>D151</f>
        <v>57872000</v>
      </c>
      <c r="E150" s="3">
        <f t="shared" ref="E150:F150" si="58">E151</f>
        <v>0</v>
      </c>
      <c r="F150" s="3">
        <f t="shared" si="58"/>
        <v>0</v>
      </c>
    </row>
    <row r="151" spans="1:7" ht="45">
      <c r="B151" s="1" t="s">
        <v>371</v>
      </c>
      <c r="C151" s="2" t="s">
        <v>373</v>
      </c>
      <c r="D151" s="3">
        <v>57872000</v>
      </c>
      <c r="E151" s="3">
        <v>0</v>
      </c>
      <c r="F151" s="4">
        <v>0</v>
      </c>
    </row>
    <row r="152" spans="1:7" ht="42.75">
      <c r="B152" s="18" t="s">
        <v>325</v>
      </c>
      <c r="C152" s="19" t="s">
        <v>117</v>
      </c>
      <c r="D152" s="46">
        <f>D153+D157+D159+D161+D165+D167+D169+D171+D173+D175+D177+D155+D163</f>
        <v>705450552.63999999</v>
      </c>
      <c r="E152" s="46">
        <f>E153+E157+E159+E161+E165+E167+E169+E171+E173+E175+E177+E155+E163</f>
        <v>1524040668.8400002</v>
      </c>
      <c r="F152" s="46">
        <f>F153+F157+F159+F161+F165+F167+F169+F171+F173+F175+F177+F155+F163</f>
        <v>302033791.99000001</v>
      </c>
    </row>
    <row r="153" spans="1:7" s="28" customFormat="1" ht="42.75">
      <c r="B153" s="29" t="s">
        <v>326</v>
      </c>
      <c r="C153" s="30" t="s">
        <v>118</v>
      </c>
      <c r="D153" s="31">
        <f>D154</f>
        <v>191914430</v>
      </c>
      <c r="E153" s="31">
        <f t="shared" ref="E153:F153" si="59">E154</f>
        <v>614214230</v>
      </c>
      <c r="F153" s="31">
        <f t="shared" si="59"/>
        <v>0</v>
      </c>
      <c r="G153" s="40"/>
    </row>
    <row r="154" spans="1:7" ht="45">
      <c r="B154" s="1" t="s">
        <v>327</v>
      </c>
      <c r="C154" s="2" t="s">
        <v>119</v>
      </c>
      <c r="D154" s="3">
        <f>457213.89*1000+34984420-282200000-18083880</f>
        <v>191914430</v>
      </c>
      <c r="E154" s="3">
        <f>0+362588600+251625630</f>
        <v>614214230</v>
      </c>
      <c r="F154" s="4">
        <v>0</v>
      </c>
    </row>
    <row r="155" spans="1:7" s="34" customFormat="1" ht="114">
      <c r="B155" s="21" t="s">
        <v>336</v>
      </c>
      <c r="C155" s="22" t="s">
        <v>338</v>
      </c>
      <c r="D155" s="23">
        <f>D156</f>
        <v>131614690</v>
      </c>
      <c r="E155" s="23">
        <f t="shared" ref="E155:F155" si="60">E156</f>
        <v>43672000</v>
      </c>
      <c r="F155" s="23">
        <f t="shared" si="60"/>
        <v>10959000</v>
      </c>
      <c r="G155" s="41"/>
    </row>
    <row r="156" spans="1:7" ht="120">
      <c r="B156" s="1" t="s">
        <v>337</v>
      </c>
      <c r="C156" s="2" t="s">
        <v>339</v>
      </c>
      <c r="D156" s="3">
        <f>1274780+38926000+6097400+38374000+4004410+26500000-19290+57421000-2228780+1044000-39778830</f>
        <v>131614690</v>
      </c>
      <c r="E156" s="3">
        <f>43672000</f>
        <v>43672000</v>
      </c>
      <c r="F156" s="4">
        <f>45469000-34510000</f>
        <v>10959000</v>
      </c>
    </row>
    <row r="157" spans="1:7" s="28" customFormat="1" ht="128.25">
      <c r="B157" s="29" t="s">
        <v>184</v>
      </c>
      <c r="C157" s="30" t="s">
        <v>340</v>
      </c>
      <c r="D157" s="31">
        <f>D158</f>
        <v>16466709.480000019</v>
      </c>
      <c r="E157" s="31">
        <f t="shared" ref="E157:F157" si="61">E158</f>
        <v>220124242.13999999</v>
      </c>
      <c r="F157" s="31">
        <f t="shared" si="61"/>
        <v>0</v>
      </c>
      <c r="G157" s="40"/>
    </row>
    <row r="158" spans="1:7" ht="120">
      <c r="B158" s="1" t="s">
        <v>185</v>
      </c>
      <c r="C158" s="2" t="s">
        <v>341</v>
      </c>
      <c r="D158" s="3">
        <f>(20233.43+64197.68)*1000+3018390.4-4872038.38+0.01-66110752.55</f>
        <v>16466709.480000019</v>
      </c>
      <c r="E158" s="3">
        <f>98517.21*1000-5.09-1143328.03+122750365.26</f>
        <v>220124242.13999999</v>
      </c>
      <c r="F158" s="4">
        <v>0</v>
      </c>
    </row>
    <row r="159" spans="1:7" s="28" customFormat="1" ht="66.75" customHeight="1">
      <c r="B159" s="29" t="s">
        <v>176</v>
      </c>
      <c r="C159" s="30" t="s">
        <v>342</v>
      </c>
      <c r="D159" s="31">
        <f>D160</f>
        <v>79211000</v>
      </c>
      <c r="E159" s="31">
        <f t="shared" ref="E159:F159" si="62">E160</f>
        <v>0</v>
      </c>
      <c r="F159" s="31">
        <f t="shared" si="62"/>
        <v>0</v>
      </c>
      <c r="G159" s="40"/>
    </row>
    <row r="160" spans="1:7" ht="68.25" customHeight="1">
      <c r="B160" s="1" t="s">
        <v>177</v>
      </c>
      <c r="C160" s="2" t="s">
        <v>343</v>
      </c>
      <c r="D160" s="3">
        <f>79211*1000</f>
        <v>79211000</v>
      </c>
      <c r="E160" s="3">
        <v>0</v>
      </c>
      <c r="F160" s="3">
        <v>0</v>
      </c>
    </row>
    <row r="161" spans="2:7" s="28" customFormat="1" ht="111.75" customHeight="1">
      <c r="B161" s="29" t="s">
        <v>168</v>
      </c>
      <c r="C161" s="30" t="s">
        <v>344</v>
      </c>
      <c r="D161" s="31">
        <f>D162</f>
        <v>4707000</v>
      </c>
      <c r="E161" s="31">
        <f t="shared" ref="E161:F161" si="63">E162</f>
        <v>4707000</v>
      </c>
      <c r="F161" s="31">
        <f t="shared" si="63"/>
        <v>6275000</v>
      </c>
      <c r="G161" s="40"/>
    </row>
    <row r="162" spans="2:7" ht="105">
      <c r="B162" s="24" t="s">
        <v>169</v>
      </c>
      <c r="C162" s="25" t="s">
        <v>345</v>
      </c>
      <c r="D162" s="26">
        <f>2026000+2681000</f>
        <v>4707000</v>
      </c>
      <c r="E162" s="26">
        <f>4025000+682000</f>
        <v>4707000</v>
      </c>
      <c r="F162" s="26">
        <v>6275000</v>
      </c>
    </row>
    <row r="163" spans="2:7" s="34" customFormat="1" ht="142.5">
      <c r="B163" s="29" t="s">
        <v>346</v>
      </c>
      <c r="C163" s="30" t="s">
        <v>348</v>
      </c>
      <c r="D163" s="31">
        <f>D164</f>
        <v>17020920</v>
      </c>
      <c r="E163" s="31">
        <f t="shared" ref="E163:F163" si="64">E164</f>
        <v>18478020</v>
      </c>
      <c r="F163" s="31">
        <f t="shared" si="64"/>
        <v>0</v>
      </c>
      <c r="G163" s="41"/>
    </row>
    <row r="164" spans="2:7" ht="135">
      <c r="B164" s="24" t="s">
        <v>347</v>
      </c>
      <c r="C164" s="25" t="s">
        <v>349</v>
      </c>
      <c r="D164" s="26">
        <f>0+13482060+3538860</f>
        <v>17020920</v>
      </c>
      <c r="E164" s="26">
        <f>0+17559940+918080</f>
        <v>18478020</v>
      </c>
      <c r="F164" s="26">
        <v>0</v>
      </c>
    </row>
    <row r="165" spans="2:7" s="28" customFormat="1" ht="71.25" hidden="1">
      <c r="B165" s="29" t="s">
        <v>178</v>
      </c>
      <c r="C165" s="30" t="s">
        <v>180</v>
      </c>
      <c r="D165" s="31">
        <f>D166</f>
        <v>0</v>
      </c>
      <c r="E165" s="31">
        <f t="shared" ref="E165:F165" si="65">E166</f>
        <v>0</v>
      </c>
      <c r="F165" s="31">
        <f t="shared" si="65"/>
        <v>0</v>
      </c>
      <c r="G165" s="40"/>
    </row>
    <row r="166" spans="2:7" ht="75" hidden="1">
      <c r="B166" s="1" t="s">
        <v>179</v>
      </c>
      <c r="C166" s="2" t="s">
        <v>181</v>
      </c>
      <c r="D166" s="3">
        <v>0</v>
      </c>
      <c r="E166" s="3">
        <f>11913.14*1000-11913140</f>
        <v>0</v>
      </c>
      <c r="F166" s="4">
        <v>0</v>
      </c>
    </row>
    <row r="167" spans="2:7" s="28" customFormat="1" ht="85.5">
      <c r="B167" s="29" t="s">
        <v>170</v>
      </c>
      <c r="C167" s="30" t="s">
        <v>152</v>
      </c>
      <c r="D167" s="31">
        <f>D168</f>
        <v>32723700</v>
      </c>
      <c r="E167" s="31">
        <f>E168</f>
        <v>34558256.700000003</v>
      </c>
      <c r="F167" s="32">
        <f>F168</f>
        <v>33878421.990000002</v>
      </c>
      <c r="G167" s="40"/>
    </row>
    <row r="168" spans="2:7" ht="75">
      <c r="B168" s="1" t="s">
        <v>171</v>
      </c>
      <c r="C168" s="2" t="s">
        <v>152</v>
      </c>
      <c r="D168" s="3">
        <f>33199*1000-475300</f>
        <v>32723700</v>
      </c>
      <c r="E168" s="45">
        <f>35585000-553613.65+13.65-473143.3</f>
        <v>34558256.700000003</v>
      </c>
      <c r="F168" s="4">
        <f>31095000+4535000-1172940.8+40.8-578678.01</f>
        <v>33878421.990000002</v>
      </c>
    </row>
    <row r="169" spans="2:7" s="28" customFormat="1" ht="42.75">
      <c r="B169" s="29" t="s">
        <v>146</v>
      </c>
      <c r="C169" s="30" t="s">
        <v>147</v>
      </c>
      <c r="D169" s="31">
        <f>D170</f>
        <v>4990300</v>
      </c>
      <c r="E169" s="31">
        <f>E170</f>
        <v>2934000</v>
      </c>
      <c r="F169" s="31">
        <f>F170</f>
        <v>2669000</v>
      </c>
      <c r="G169" s="40"/>
    </row>
    <row r="170" spans="2:7" ht="45">
      <c r="B170" s="1" t="s">
        <v>148</v>
      </c>
      <c r="C170" s="2" t="s">
        <v>149</v>
      </c>
      <c r="D170" s="3">
        <f>5437.2*1000-446900</f>
        <v>4990300</v>
      </c>
      <c r="E170" s="3">
        <f>2934*1000-0</f>
        <v>2934000</v>
      </c>
      <c r="F170" s="4">
        <f>2669*1000</f>
        <v>2669000</v>
      </c>
    </row>
    <row r="171" spans="2:7" s="28" customFormat="1" ht="35.25" customHeight="1">
      <c r="B171" s="29" t="s">
        <v>162</v>
      </c>
      <c r="C171" s="30" t="s">
        <v>163</v>
      </c>
      <c r="D171" s="31">
        <f>D172</f>
        <v>0</v>
      </c>
      <c r="E171" s="31">
        <f>E172</f>
        <v>7430000</v>
      </c>
      <c r="F171" s="32">
        <f>F172</f>
        <v>0</v>
      </c>
      <c r="G171" s="40"/>
    </row>
    <row r="172" spans="2:7" ht="36.75" customHeight="1">
      <c r="B172" s="1" t="s">
        <v>164</v>
      </c>
      <c r="C172" s="2" t="s">
        <v>165</v>
      </c>
      <c r="D172" s="3">
        <v>0</v>
      </c>
      <c r="E172" s="3">
        <v>7430000</v>
      </c>
      <c r="F172" s="4">
        <v>0</v>
      </c>
    </row>
    <row r="173" spans="2:7" s="28" customFormat="1" ht="42.75">
      <c r="B173" s="29" t="s">
        <v>182</v>
      </c>
      <c r="C173" s="30" t="s">
        <v>120</v>
      </c>
      <c r="D173" s="31">
        <f>D174</f>
        <v>0</v>
      </c>
      <c r="E173" s="31">
        <f>E174</f>
        <v>52195000</v>
      </c>
      <c r="F173" s="31">
        <f t="shared" ref="F173" si="66">F174</f>
        <v>0</v>
      </c>
      <c r="G173" s="40"/>
    </row>
    <row r="174" spans="2:7" ht="45">
      <c r="B174" s="1" t="s">
        <v>183</v>
      </c>
      <c r="C174" s="2" t="s">
        <v>121</v>
      </c>
      <c r="D174" s="3">
        <v>0</v>
      </c>
      <c r="E174" s="45">
        <f>31800000+20395000</f>
        <v>52195000</v>
      </c>
      <c r="F174" s="4">
        <v>0</v>
      </c>
    </row>
    <row r="175" spans="2:7" s="28" customFormat="1" ht="42.75">
      <c r="B175" s="29" t="s">
        <v>173</v>
      </c>
      <c r="C175" s="30" t="s">
        <v>172</v>
      </c>
      <c r="D175" s="31">
        <f>D176</f>
        <v>1660870</v>
      </c>
      <c r="E175" s="31">
        <f t="shared" ref="E175:F175" si="67">E176</f>
        <v>0</v>
      </c>
      <c r="F175" s="31">
        <f t="shared" si="67"/>
        <v>0</v>
      </c>
      <c r="G175" s="40"/>
    </row>
    <row r="176" spans="2:7" ht="45">
      <c r="B176" s="1" t="s">
        <v>174</v>
      </c>
      <c r="C176" s="2" t="s">
        <v>175</v>
      </c>
      <c r="D176" s="3">
        <f>2661.15*1000-1000280</f>
        <v>1660870</v>
      </c>
      <c r="E176" s="3">
        <v>0</v>
      </c>
      <c r="F176" s="4">
        <v>0</v>
      </c>
    </row>
    <row r="177" spans="2:7" s="28" customFormat="1" ht="29.25" customHeight="1">
      <c r="B177" s="29" t="s">
        <v>167</v>
      </c>
      <c r="C177" s="30" t="s">
        <v>122</v>
      </c>
      <c r="D177" s="31">
        <f>D178</f>
        <v>225140933.16</v>
      </c>
      <c r="E177" s="31">
        <f>E178</f>
        <v>525727920</v>
      </c>
      <c r="F177" s="31">
        <f t="shared" ref="F177" si="68">F178</f>
        <v>248252370</v>
      </c>
      <c r="G177" s="40"/>
    </row>
    <row r="178" spans="2:7" ht="26.25" customHeight="1">
      <c r="B178" s="1" t="s">
        <v>166</v>
      </c>
      <c r="C178" s="2" t="s">
        <v>123</v>
      </c>
      <c r="D178" s="3">
        <f>(0+0+1846+0+21547+0+3044+191.58+418+129250.75+67940+38926+6344.1+19000)*1000-38926000+24548080-105190770-20000+165300+30678600+17113960+175000+2639640+4086660+1470630+6622060+429300+10560000-17718956.84</f>
        <v>225140933.16</v>
      </c>
      <c r="E178" s="3">
        <f>(20058+0+1846+43855+19033+2498.5+3044+9540+199.25+418+10560+73935+53838+43672)*1000-43672000+85457050+1825200-21350980+171900+37542000-16991000+200249000</f>
        <v>525727920</v>
      </c>
      <c r="F178" s="4">
        <f>(0+1680+1846+19033+2775.9+3044+207.22+418+53805+45469+4375+9540)*1000-45469000+139332820+1680000+178780-38915350+2259000+46993000</f>
        <v>248252370</v>
      </c>
    </row>
    <row r="179" spans="2:7" ht="28.5">
      <c r="B179" s="18" t="s">
        <v>328</v>
      </c>
      <c r="C179" s="19" t="s">
        <v>124</v>
      </c>
      <c r="D179" s="20">
        <f>D180+D182+D184+D186+D188+D190+D194+D196+D192</f>
        <v>1135773000</v>
      </c>
      <c r="E179" s="20">
        <f t="shared" ref="E179:F179" si="69">E180+E182+E184+E186+E188+E190+E194+E196+E192</f>
        <v>1160626000</v>
      </c>
      <c r="F179" s="20">
        <f t="shared" si="69"/>
        <v>1154935000</v>
      </c>
    </row>
    <row r="180" spans="2:7" s="28" customFormat="1" ht="57">
      <c r="B180" s="29" t="s">
        <v>223</v>
      </c>
      <c r="C180" s="30" t="s">
        <v>125</v>
      </c>
      <c r="D180" s="31">
        <f>D181</f>
        <v>48201000</v>
      </c>
      <c r="E180" s="31">
        <f t="shared" ref="E180:F180" si="70">E181</f>
        <v>50306000</v>
      </c>
      <c r="F180" s="31">
        <f t="shared" si="70"/>
        <v>52000000</v>
      </c>
      <c r="G180" s="40"/>
    </row>
    <row r="181" spans="2:7" ht="45">
      <c r="B181" s="1" t="s">
        <v>191</v>
      </c>
      <c r="C181" s="2" t="s">
        <v>126</v>
      </c>
      <c r="D181" s="3">
        <f>(48201)*1000</f>
        <v>48201000</v>
      </c>
      <c r="E181" s="3">
        <f>50306*1000</f>
        <v>50306000</v>
      </c>
      <c r="F181" s="4">
        <f>52000*1000</f>
        <v>52000000</v>
      </c>
    </row>
    <row r="182" spans="2:7" s="28" customFormat="1" ht="42.75">
      <c r="B182" s="29" t="s">
        <v>196</v>
      </c>
      <c r="C182" s="30" t="s">
        <v>127</v>
      </c>
      <c r="D182" s="31">
        <f>D183</f>
        <v>28411000</v>
      </c>
      <c r="E182" s="31">
        <f t="shared" ref="E182:F182" si="71">E183</f>
        <v>27865000</v>
      </c>
      <c r="F182" s="31">
        <f t="shared" si="71"/>
        <v>27868000</v>
      </c>
      <c r="G182" s="40"/>
    </row>
    <row r="183" spans="2:7" ht="45">
      <c r="B183" s="1" t="s">
        <v>197</v>
      </c>
      <c r="C183" s="2" t="s">
        <v>128</v>
      </c>
      <c r="D183" s="3">
        <f>(491+5760+2195+2346+662+956+1911+793+12791)*1000+506000</f>
        <v>28411000</v>
      </c>
      <c r="E183" s="3">
        <f>(491+5720+2195+2346+662+956+1911+793+12791)*1000</f>
        <v>27865000</v>
      </c>
      <c r="F183" s="4">
        <f>(491+5723+2195+2346+662+956+1911+793+12791)*1000</f>
        <v>27868000</v>
      </c>
    </row>
    <row r="184" spans="2:7" s="28" customFormat="1" ht="85.5">
      <c r="B184" s="29" t="s">
        <v>189</v>
      </c>
      <c r="C184" s="30" t="s">
        <v>129</v>
      </c>
      <c r="D184" s="31">
        <f>D185</f>
        <v>22949000</v>
      </c>
      <c r="E184" s="31">
        <f t="shared" ref="E184:F184" si="72">E185</f>
        <v>22949000</v>
      </c>
      <c r="F184" s="31">
        <f t="shared" si="72"/>
        <v>22949000</v>
      </c>
      <c r="G184" s="40"/>
    </row>
    <row r="185" spans="2:7" ht="90">
      <c r="B185" s="1" t="s">
        <v>190</v>
      </c>
      <c r="C185" s="2" t="s">
        <v>130</v>
      </c>
      <c r="D185" s="3">
        <f>(22949)*1000</f>
        <v>22949000</v>
      </c>
      <c r="E185" s="3">
        <f>(22949)*1000</f>
        <v>22949000</v>
      </c>
      <c r="F185" s="4">
        <f>(22949)*1000</f>
        <v>22949000</v>
      </c>
    </row>
    <row r="186" spans="2:7" s="28" customFormat="1" ht="85.5">
      <c r="B186" s="29" t="s">
        <v>194</v>
      </c>
      <c r="C186" s="30" t="s">
        <v>131</v>
      </c>
      <c r="D186" s="31">
        <f>D187</f>
        <v>22744000</v>
      </c>
      <c r="E186" s="31">
        <f t="shared" ref="E186:F186" si="73">E187</f>
        <v>41353000</v>
      </c>
      <c r="F186" s="31">
        <f t="shared" si="73"/>
        <v>34461000</v>
      </c>
      <c r="G186" s="40"/>
    </row>
    <row r="187" spans="2:7" ht="75">
      <c r="B187" s="1" t="s">
        <v>195</v>
      </c>
      <c r="C187" s="2" t="s">
        <v>132</v>
      </c>
      <c r="D187" s="3">
        <f>25271000-2527000</f>
        <v>22744000</v>
      </c>
      <c r="E187" s="3">
        <v>41353000</v>
      </c>
      <c r="F187" s="4">
        <f>34461000</f>
        <v>34461000</v>
      </c>
    </row>
    <row r="188" spans="2:7" s="28" customFormat="1" ht="42.75">
      <c r="B188" s="29" t="s">
        <v>192</v>
      </c>
      <c r="C188" s="30" t="s">
        <v>133</v>
      </c>
      <c r="D188" s="31">
        <f>D189</f>
        <v>5146000</v>
      </c>
      <c r="E188" s="31">
        <f t="shared" ref="E188:F188" si="74">E189</f>
        <v>5146000</v>
      </c>
      <c r="F188" s="31">
        <f t="shared" si="74"/>
        <v>5146000</v>
      </c>
      <c r="G188" s="40"/>
    </row>
    <row r="189" spans="2:7" ht="60">
      <c r="B189" s="1" t="s">
        <v>193</v>
      </c>
      <c r="C189" s="2" t="s">
        <v>134</v>
      </c>
      <c r="D189" s="3">
        <f>5146*1000</f>
        <v>5146000</v>
      </c>
      <c r="E189" s="3">
        <f t="shared" ref="E189:F189" si="75">5146*1000</f>
        <v>5146000</v>
      </c>
      <c r="F189" s="3">
        <f t="shared" si="75"/>
        <v>5146000</v>
      </c>
    </row>
    <row r="190" spans="2:7" s="28" customFormat="1" ht="71.25">
      <c r="B190" s="29" t="s">
        <v>198</v>
      </c>
      <c r="C190" s="30" t="s">
        <v>135</v>
      </c>
      <c r="D190" s="31">
        <f>D191</f>
        <v>1000</v>
      </c>
      <c r="E190" s="31">
        <f t="shared" ref="E190:F190" si="76">E191</f>
        <v>530000</v>
      </c>
      <c r="F190" s="31">
        <f t="shared" si="76"/>
        <v>34000</v>
      </c>
      <c r="G190" s="40"/>
    </row>
    <row r="191" spans="2:7" ht="75">
      <c r="B191" s="1" t="s">
        <v>199</v>
      </c>
      <c r="C191" s="2" t="s">
        <v>136</v>
      </c>
      <c r="D191" s="3">
        <f>1000</f>
        <v>1000</v>
      </c>
      <c r="E191" s="3">
        <v>530000</v>
      </c>
      <c r="F191" s="4">
        <v>34000</v>
      </c>
    </row>
    <row r="192" spans="2:7" ht="85.5">
      <c r="B192" s="21" t="s">
        <v>374</v>
      </c>
      <c r="C192" s="22" t="s">
        <v>375</v>
      </c>
      <c r="D192" s="23">
        <f>D193</f>
        <v>28826000</v>
      </c>
      <c r="E192" s="23">
        <f t="shared" ref="E192:F192" si="77">E193</f>
        <v>28826000</v>
      </c>
      <c r="F192" s="23">
        <f t="shared" si="77"/>
        <v>28826000</v>
      </c>
    </row>
    <row r="193" spans="2:7" ht="75">
      <c r="B193" s="1" t="s">
        <v>376</v>
      </c>
      <c r="C193" s="2" t="s">
        <v>377</v>
      </c>
      <c r="D193" s="3">
        <v>28826000</v>
      </c>
      <c r="E193" s="3">
        <v>28826000</v>
      </c>
      <c r="F193" s="4">
        <v>28826000</v>
      </c>
    </row>
    <row r="194" spans="2:7" s="28" customFormat="1" ht="42.75">
      <c r="B194" s="29" t="s">
        <v>186</v>
      </c>
      <c r="C194" s="30" t="s">
        <v>137</v>
      </c>
      <c r="D194" s="31">
        <f>D195</f>
        <v>1310000</v>
      </c>
      <c r="E194" s="31">
        <f t="shared" ref="E194:F194" si="78">E195</f>
        <v>0</v>
      </c>
      <c r="F194" s="31">
        <f t="shared" si="78"/>
        <v>0</v>
      </c>
      <c r="G194" s="40"/>
    </row>
    <row r="195" spans="2:7" ht="45">
      <c r="B195" s="1" t="s">
        <v>187</v>
      </c>
      <c r="C195" s="2" t="s">
        <v>138</v>
      </c>
      <c r="D195" s="3">
        <f>1958*1000-648000</f>
        <v>1310000</v>
      </c>
      <c r="E195" s="3">
        <v>0</v>
      </c>
      <c r="F195" s="4">
        <v>0</v>
      </c>
    </row>
    <row r="196" spans="2:7" s="28" customFormat="1" ht="14.25">
      <c r="B196" s="29" t="s">
        <v>224</v>
      </c>
      <c r="C196" s="30" t="s">
        <v>139</v>
      </c>
      <c r="D196" s="31">
        <f>D197</f>
        <v>978185000</v>
      </c>
      <c r="E196" s="31">
        <f t="shared" ref="E196:F196" si="79">E197</f>
        <v>983651000</v>
      </c>
      <c r="F196" s="31">
        <f t="shared" si="79"/>
        <v>983651000</v>
      </c>
      <c r="G196" s="40"/>
    </row>
    <row r="197" spans="2:7" ht="15">
      <c r="B197" s="1" t="s">
        <v>188</v>
      </c>
      <c r="C197" s="2" t="s">
        <v>140</v>
      </c>
      <c r="D197" s="3">
        <f>(676608+329376)*1000+6493000-28999000-5293000</f>
        <v>978185000</v>
      </c>
      <c r="E197" s="3">
        <f>(676608+329376)*1000+6493000-28826000</f>
        <v>983651000</v>
      </c>
      <c r="F197" s="4">
        <f>(676608+329376)*1000+5433000+1060000-28826000</f>
        <v>983651000</v>
      </c>
    </row>
    <row r="198" spans="2:7" ht="14.25">
      <c r="B198" s="18" t="s">
        <v>329</v>
      </c>
      <c r="C198" s="19" t="s">
        <v>141</v>
      </c>
      <c r="D198" s="20">
        <f t="shared" ref="D198" si="80">D199</f>
        <v>164637000</v>
      </c>
      <c r="E198" s="20">
        <f t="shared" ref="E198" si="81">E199</f>
        <v>15894000</v>
      </c>
      <c r="F198" s="20">
        <f t="shared" ref="F198" si="82">F199</f>
        <v>2000000</v>
      </c>
    </row>
    <row r="199" spans="2:7" ht="30">
      <c r="B199" s="1" t="s">
        <v>225</v>
      </c>
      <c r="C199" s="2" t="s">
        <v>142</v>
      </c>
      <c r="D199" s="3">
        <f>D200</f>
        <v>164637000</v>
      </c>
      <c r="E199" s="3">
        <f t="shared" ref="E199:F199" si="83">E200</f>
        <v>15894000</v>
      </c>
      <c r="F199" s="3">
        <f t="shared" si="83"/>
        <v>2000000</v>
      </c>
    </row>
    <row r="200" spans="2:7" ht="30">
      <c r="B200" s="1" t="s">
        <v>226</v>
      </c>
      <c r="C200" s="2" t="s">
        <v>143</v>
      </c>
      <c r="D200" s="3">
        <f>26275000+1000000-1229000+500000+3892000+139000000-4801000</f>
        <v>164637000</v>
      </c>
      <c r="E200" s="3">
        <f>(2000)*1000-500000+14394000</f>
        <v>15894000</v>
      </c>
      <c r="F200" s="4">
        <f>0+2000000</f>
        <v>2000000</v>
      </c>
    </row>
    <row r="201" spans="2:7" ht="71.25" hidden="1">
      <c r="B201" s="18" t="s">
        <v>355</v>
      </c>
      <c r="C201" s="19" t="s">
        <v>356</v>
      </c>
      <c r="D201" s="20">
        <f t="shared" ref="D201:F202" si="84">D202</f>
        <v>0</v>
      </c>
      <c r="E201" s="20">
        <f t="shared" si="84"/>
        <v>0</v>
      </c>
      <c r="F201" s="20">
        <f t="shared" si="84"/>
        <v>0</v>
      </c>
    </row>
    <row r="202" spans="2:7" ht="60" hidden="1">
      <c r="B202" s="1" t="s">
        <v>354</v>
      </c>
      <c r="C202" s="2" t="s">
        <v>353</v>
      </c>
      <c r="D202" s="3"/>
      <c r="E202" s="3">
        <f t="shared" si="84"/>
        <v>0</v>
      </c>
      <c r="F202" s="3">
        <f t="shared" si="84"/>
        <v>0</v>
      </c>
    </row>
    <row r="203" spans="2:7" ht="60" hidden="1">
      <c r="B203" s="1" t="s">
        <v>352</v>
      </c>
      <c r="C203" s="2" t="s">
        <v>351</v>
      </c>
      <c r="D203" s="3"/>
      <c r="E203" s="3"/>
      <c r="F203" s="4"/>
    </row>
    <row r="204" spans="2:7" ht="14.25">
      <c r="B204" s="48" t="s">
        <v>115</v>
      </c>
      <c r="C204" s="49"/>
      <c r="D204" s="44">
        <f>D19+D145</f>
        <v>3937917552.6399999</v>
      </c>
      <c r="E204" s="44">
        <f>E19+E145</f>
        <v>4644588668.8400002</v>
      </c>
      <c r="F204" s="44">
        <f>F19+F145</f>
        <v>3385252791.9899998</v>
      </c>
    </row>
  </sheetData>
  <mergeCells count="16">
    <mergeCell ref="B13:F13"/>
    <mergeCell ref="D1:F1"/>
    <mergeCell ref="D2:F2"/>
    <mergeCell ref="D3:F3"/>
    <mergeCell ref="D4:F4"/>
    <mergeCell ref="D5:F5"/>
    <mergeCell ref="B204:C204"/>
    <mergeCell ref="B16:B17"/>
    <mergeCell ref="C16:C17"/>
    <mergeCell ref="D16:D17"/>
    <mergeCell ref="E16:F16"/>
    <mergeCell ref="C7:F7"/>
    <mergeCell ref="C8:F8"/>
    <mergeCell ref="C9:F9"/>
    <mergeCell ref="C10:F10"/>
    <mergeCell ref="C11:F11"/>
  </mergeCells>
  <pageMargins left="0.59055118110236227" right="0.39370078740157483" top="0.31496062992125984" bottom="0.19685039370078741" header="0.23622047244094491" footer="0.11811023622047245"/>
  <pageSetup paperSize="9" scale="68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декабрь</vt:lpstr>
      <vt:lpstr>'№1_доходы 2021-2023 декабрь'!Заголовки_для_печати</vt:lpstr>
      <vt:lpstr>'№1_доходы 2021-2023 декабрь'!Область_печати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2021-09-24T08:59:17Z</cp:lastPrinted>
  <dcterms:created xsi:type="dcterms:W3CDTF">2017-11-15T18:44:11Z</dcterms:created>
  <dcterms:modified xsi:type="dcterms:W3CDTF">2021-12-13T06:21:47Z</dcterms:modified>
</cp:coreProperties>
</file>